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6" activeTab="18"/>
  </bookViews>
  <sheets>
    <sheet name="8 март,9" sheetId="1" r:id="rId1"/>
    <sheet name="8 март,13" sheetId="2" r:id="rId2"/>
    <sheet name="8 мар,17" sheetId="3" r:id="rId3"/>
    <sheet name="8 мар,17-2" sheetId="4" r:id="rId4"/>
    <sheet name="8 мар,18" sheetId="5" r:id="rId5"/>
    <sheet name="8 мар,20" sheetId="6" r:id="rId6"/>
    <sheet name="8 мар,20-2" sheetId="7" r:id="rId7"/>
    <sheet name="8 мар,21" sheetId="8" r:id="rId8"/>
    <sheet name="8 мар,22" sheetId="9" r:id="rId9"/>
    <sheet name="8 мар,22-2" sheetId="10" r:id="rId10"/>
    <sheet name="8 мар,22-3" sheetId="11" r:id="rId11"/>
    <sheet name="8 мар,24" sheetId="12" r:id="rId12"/>
    <sheet name="8 мар,24-2" sheetId="13" r:id="rId13"/>
    <sheet name="8 мар,24-4" sheetId="14" r:id="rId14"/>
    <sheet name="8 мар,24-5" sheetId="15" r:id="rId15"/>
    <sheet name="8 мар,26" sheetId="16" r:id="rId16"/>
    <sheet name="8 мар,26-2" sheetId="17" r:id="rId17"/>
    <sheet name="8 мар,26-3" sheetId="18" r:id="rId18"/>
    <sheet name="8 мар,26-4" sheetId="19" r:id="rId19"/>
    <sheet name="8 мар,28" sheetId="20" r:id="rId20"/>
    <sheet name="8 мар,30" sheetId="21" r:id="rId21"/>
    <sheet name="8 мар,32" sheetId="22" r:id="rId22"/>
    <sheet name="8 мар,32а" sheetId="23" r:id="rId23"/>
    <sheet name="Ворошил,7" sheetId="24" r:id="rId24"/>
    <sheet name="Ворош,11" sheetId="25" r:id="rId25"/>
    <sheet name="Гоголя,1" sheetId="26" r:id="rId26"/>
    <sheet name="Гогол,2" sheetId="27" r:id="rId27"/>
    <sheet name="Горького,7" sheetId="28" r:id="rId28"/>
    <sheet name="Горьк,9" sheetId="29" r:id="rId29"/>
    <sheet name="Горьк,11-2" sheetId="30" r:id="rId30"/>
    <sheet name="Горьк,13-2" sheetId="31" r:id="rId31"/>
    <sheet name="Горьк,17" sheetId="32" r:id="rId32"/>
    <sheet name="Горьк,26" sheetId="33" r:id="rId33"/>
    <sheet name="Гром,7" sheetId="34" r:id="rId34"/>
    <sheet name="Гром,4" sheetId="35" r:id="rId35"/>
    <sheet name="М.Ключи,1" sheetId="36" r:id="rId36"/>
    <sheet name="М.Ключи,2" sheetId="37" r:id="rId37"/>
    <sheet name="Папина,1а" sheetId="38" r:id="rId38"/>
    <sheet name="Папин,1б" sheetId="39" r:id="rId39"/>
    <sheet name="Папин,1в" sheetId="40" r:id="rId40"/>
    <sheet name="пр.Победы,2" sheetId="41" r:id="rId41"/>
    <sheet name="пр.Поб,4" sheetId="42" r:id="rId42"/>
    <sheet name="пр.Поб,6" sheetId="43" r:id="rId43"/>
    <sheet name="пр.Поб,8" sheetId="44" r:id="rId44"/>
    <sheet name="пр.Поб,10" sheetId="45" r:id="rId45"/>
    <sheet name="пр.Поб,12" sheetId="46" r:id="rId46"/>
    <sheet name="пр.Поб,14" sheetId="47" r:id="rId47"/>
    <sheet name="Советская,24а" sheetId="48" r:id="rId48"/>
    <sheet name="Совет,26" sheetId="49" r:id="rId49"/>
    <sheet name="Совет,26в" sheetId="50" r:id="rId50"/>
    <sheet name="Совет,30" sheetId="51" r:id="rId51"/>
    <sheet name="Совет,68" sheetId="52" r:id="rId52"/>
    <sheet name="Союзная,3" sheetId="53" r:id="rId53"/>
    <sheet name="Союз,15" sheetId="54" r:id="rId54"/>
    <sheet name="Толстого,7" sheetId="55" r:id="rId55"/>
    <sheet name="Толст,9" sheetId="56" r:id="rId56"/>
    <sheet name="Толст,40" sheetId="57" r:id="rId57"/>
    <sheet name="Толст,42" sheetId="58" r:id="rId58"/>
    <sheet name="Толст,44" sheetId="59" r:id="rId59"/>
    <sheet name="Толст,46" sheetId="60" r:id="rId60"/>
    <sheet name="Фрунзе,2" sheetId="61" r:id="rId61"/>
    <sheet name="Юн.Натур,14" sheetId="62" r:id="rId62"/>
  </sheets>
  <definedNames>
    <definedName name="_xlnm.Print_Area" localSheetId="17">'8 мар,26-3'!$A$1:$G$1</definedName>
  </definedNames>
  <calcPr fullCalcOnLoad="1"/>
</workbook>
</file>

<file path=xl/sharedStrings.xml><?xml version="1.0" encoding="utf-8"?>
<sst xmlns="http://schemas.openxmlformats.org/spreadsheetml/2006/main" count="4883" uniqueCount="220">
  <si>
    <t>Отчет ООО  "ЛУК" по обслуживанию многоквартирного дома за  2014г.</t>
  </si>
  <si>
    <t xml:space="preserve"> адрес:</t>
  </si>
  <si>
    <t>ул. 8 Марта, д. 9</t>
  </si>
  <si>
    <t>кол-во этажей:</t>
  </si>
  <si>
    <t xml:space="preserve"> площадь дома, м2</t>
  </si>
  <si>
    <t>кол-во подъездов:</t>
  </si>
  <si>
    <t xml:space="preserve"> тариф:</t>
  </si>
  <si>
    <t>с 01.01.- 30.04.2014г</t>
  </si>
  <si>
    <t>год постройки:</t>
  </si>
  <si>
    <t>с 01.05.- 30.06.2014г</t>
  </si>
  <si>
    <t>с 01.07. - 30.11.2014г</t>
  </si>
  <si>
    <t>с 01.12.- 31.12.2014г</t>
  </si>
  <si>
    <t>убор.пл. лест.клет.</t>
  </si>
  <si>
    <t>убороч.пл.лифтов</t>
  </si>
  <si>
    <t>площадь дворов.территории</t>
  </si>
  <si>
    <t>асф.лето</t>
  </si>
  <si>
    <t>грунт-лето</t>
  </si>
  <si>
    <t>асфальт-зима</t>
  </si>
  <si>
    <t>грунт-зима</t>
  </si>
  <si>
    <t>мусоропровод</t>
  </si>
  <si>
    <t>заварен</t>
  </si>
  <si>
    <t>пл.подв. и 1этажа</t>
  </si>
  <si>
    <t>Вентканалы</t>
  </si>
  <si>
    <t>кухня</t>
  </si>
  <si>
    <t>ванна</t>
  </si>
  <si>
    <t>туалет</t>
  </si>
  <si>
    <t>кол-во вентканалов</t>
  </si>
  <si>
    <t>кол-во дымоходов</t>
  </si>
  <si>
    <t>Содержание общедомового имущества.</t>
  </si>
  <si>
    <t xml:space="preserve">сумма, руб. </t>
  </si>
  <si>
    <t>Содержание лестничных клеток</t>
  </si>
  <si>
    <t>Содержание лифта</t>
  </si>
  <si>
    <t>Содержание мусоропровода (заварен)</t>
  </si>
  <si>
    <t>Уборка дворовой территории</t>
  </si>
  <si>
    <t>Покупка талонов и вывоз КГМ,посыпка пескосоляной смесью, мехуборка</t>
  </si>
  <si>
    <t>Проведение дератизации и дезинсекции (плановая и заявочная обработка)</t>
  </si>
  <si>
    <t>ОАО "Липецкгаз" (обслуживание газопровода)</t>
  </si>
  <si>
    <t>МУП "АДС" (аварийно-диспетчерское обслуживание)</t>
  </si>
  <si>
    <t>ООО "Липецк-Лифт" (техническое обслуживание лифта)</t>
  </si>
  <si>
    <t>ООО ИЦ "Лифт-Эксперт" (диагностирование и экспертиза лифтов)</t>
  </si>
  <si>
    <t>Страхование лифта</t>
  </si>
  <si>
    <t>Обслуживание общедомовых приборов учета</t>
  </si>
  <si>
    <t>Обслуживание АТП</t>
  </si>
  <si>
    <t>Обслуживание насосных станций подкачки</t>
  </si>
  <si>
    <t>МУ АТИ (обследование дома)</t>
  </si>
  <si>
    <t>ЗАО "ЭкоПром-Липецк" (вывоз ТБО)</t>
  </si>
  <si>
    <t>Проверка вентканалов и дымоходов</t>
  </si>
  <si>
    <t>МУП "РВЦЛ" (начисление, печать, доставка квитанций)</t>
  </si>
  <si>
    <t>РКО (расчетно-кассовое обслуживание)</t>
  </si>
  <si>
    <t>ГУК (содержание аппарата управления)</t>
  </si>
  <si>
    <t xml:space="preserve">ИТОГО: </t>
  </si>
  <si>
    <t>Техническое обслуживание и ремонт общедомового имущества.</t>
  </si>
  <si>
    <t xml:space="preserve">Плановая сумма </t>
  </si>
  <si>
    <t>Фактически оказано услуг в т.ч.</t>
  </si>
  <si>
    <t>Отопление</t>
  </si>
  <si>
    <t>Горячее водоснабжение</t>
  </si>
  <si>
    <t>Холодное водоснабжение</t>
  </si>
  <si>
    <t>Панельные швы</t>
  </si>
  <si>
    <t>Профремонт подъездов</t>
  </si>
  <si>
    <t>Общестроительные работы</t>
  </si>
  <si>
    <t>Электромонтажные работы</t>
  </si>
  <si>
    <t>Канализация</t>
  </si>
  <si>
    <t>Благоустройство</t>
  </si>
  <si>
    <t>Ремонт квартир</t>
  </si>
  <si>
    <t>Кровельные работы</t>
  </si>
  <si>
    <t>Заявочный ремонт</t>
  </si>
  <si>
    <t>Очистка подвалов и чердаков</t>
  </si>
  <si>
    <t>Контрольные снятия показаний индивидуальных  и общедомовых приборов учета</t>
  </si>
  <si>
    <t xml:space="preserve">ИТОГО </t>
  </si>
  <si>
    <t>ВСЕГО оказано услуг и выполнено работ на сумму</t>
  </si>
  <si>
    <t>Возврат денежных средств за снижение качества оказанных услуг</t>
  </si>
  <si>
    <t>Плановая сумма по тарифу : в т.ч.</t>
  </si>
  <si>
    <t xml:space="preserve">         Доходы от интернетоборудования</t>
  </si>
  <si>
    <t>Задолженность по оплате за жилье на 01.01.2015г.</t>
  </si>
  <si>
    <t>Финансовый итог  ("+" перевыполнили, "-" недовыполнили)   Фин. итог  =  всего оказано услуг - плановая сумма по тарифу + задолженность  - возврат за снижение качества оказанных услуг (при наличии)</t>
  </si>
  <si>
    <t>Исп. Лексина Е.В.</t>
  </si>
  <si>
    <t>адрес:</t>
  </si>
  <si>
    <t>ул. 8 Марта, д. 13</t>
  </si>
  <si>
    <t>площадь дома, м2:</t>
  </si>
  <si>
    <t>тариф:</t>
  </si>
  <si>
    <t>с 01.01.- 30.06.2014г</t>
  </si>
  <si>
    <t>С 01.07.- 30.11.2014г</t>
  </si>
  <si>
    <t>шт</t>
  </si>
  <si>
    <t>заварен на 01.08.2011г</t>
  </si>
  <si>
    <t>дом с эл.плитами</t>
  </si>
  <si>
    <t>Содержание мусоропровода</t>
  </si>
  <si>
    <t>Покупка талонов и вывоз КГМ,посыпка пескосоляной смесью, мех.уборка</t>
  </si>
  <si>
    <t>ООО "Лифт-Комфорт" (техническое обслуживание лифта)</t>
  </si>
  <si>
    <t>Ремонт квартир (вентиляция)</t>
  </si>
  <si>
    <t xml:space="preserve">        доходы от размещения интернетоборудования</t>
  </si>
  <si>
    <t>Финансовый итог  ("+" перевыполнили, "-" недовыполнили)  Фин. итог  =  всего оказано услуг - плановая сумма по тарифу + задолженность  - возврат за снижение качества оказанных услуг (при наличии)</t>
  </si>
  <si>
    <t>Отчет ООО  "ЛУК" по обслуживанию  многоквартирного дома за  2014г.</t>
  </si>
  <si>
    <t>ул. 8 Марта, д. 17</t>
  </si>
  <si>
    <t>с 01.01. - 30.04.2014г</t>
  </si>
  <si>
    <t>с 01.05. - 30.06.2014г</t>
  </si>
  <si>
    <t>с 01.12. - 31.12.2014г</t>
  </si>
  <si>
    <t>Обслуживание общедомовых приборов учета хололной воды</t>
  </si>
  <si>
    <t>Обслуживание общедомовых приборов учета тепловой энергии</t>
  </si>
  <si>
    <t>Финансовый итог  ("+" перевыполнили, "-" недовыполнили)    Фин. итог  =  всего оказано услуг - плановая сумма по тарифу + задолженность - возврат за снижение качества оказанных услуг (при наличии)</t>
  </si>
  <si>
    <t>ул. 8 Марта, д. 17/2</t>
  </si>
  <si>
    <t>Плановая сумма по тарифу : в.т.ч.</t>
  </si>
  <si>
    <t>ул. 8 Марта, д. 18</t>
  </si>
  <si>
    <t xml:space="preserve"> </t>
  </si>
  <si>
    <t>Обслуживание общедомовых приборов учета, поверка и ремонт</t>
  </si>
  <si>
    <t>Ремонт карнизных плит</t>
  </si>
  <si>
    <t>Финансовый итог  ("+" перевыполнили, "-" недовыполнили)    Фин. итог  =  всего оказано услуг - плановая сумма по тарифу + задолженность  - возврат за снижение качества оказанных услуг (при наличии)</t>
  </si>
  <si>
    <t>ул. 8 Марта, д. 20</t>
  </si>
  <si>
    <t>Финансовый итог  ("+" перевыполнили, "-" недовыполнили)     Фин. итог  =  всего оказано услуг - плановая сумма по тарифу + задолженность - возврат за снижение качества оказанных услуг (при наличии)</t>
  </si>
  <si>
    <t>ул. 8 Марта, д. 20/2</t>
  </si>
  <si>
    <t>Обслуживание общедомовых приборов учета, ремонт</t>
  </si>
  <si>
    <t>Финансовый итог  ("+" перевыполнили, "-" недовыполнили)  Фин. итог  =  всего оказано услуг - плановая сумма по тарифу + задолженность - возврат за снижение качества оказанных услуг (при наличии)</t>
  </si>
  <si>
    <t>ул. 8 Марта, д. 21</t>
  </si>
  <si>
    <t>не уборк.</t>
  </si>
  <si>
    <t xml:space="preserve">      доходы от размещения интернетоборудования</t>
  </si>
  <si>
    <t>Финансовый итог  ("+" перевыполнили, "-" недовыполнили)   Фин. итог  =  всего оказано услуг - плановая сумма по тарифу + задолженность - возврат за снижение качества оказанных услуг (при наличии)</t>
  </si>
  <si>
    <t>ул. 8 Марта, д. 22</t>
  </si>
  <si>
    <t>с 01.03. - 30.04.2014г</t>
  </si>
  <si>
    <t>ул. 8 Марта, д. 22/2</t>
  </si>
  <si>
    <t>ул. 8 Марта, д. 22/3</t>
  </si>
  <si>
    <t>ул. 8 Марта, д. 24</t>
  </si>
  <si>
    <t>ул. 8 Марта, д. 24/2</t>
  </si>
  <si>
    <t>Обслуживание общедомовых приборов учета холодной воды</t>
  </si>
  <si>
    <t>Ремонт кровли</t>
  </si>
  <si>
    <t>Финансовый итог  ("+" перевыполнили, "-" недовыполнили)  Фин. итог  =  всего оказано услуг - плановая сумма по тарифу + задолженность   - возврат за снижение качества оказанных услуг (при наличии)</t>
  </si>
  <si>
    <t>ул. 8 Марта, д. 24/4</t>
  </si>
  <si>
    <t>Вентиляция</t>
  </si>
  <si>
    <t>ул. 8 Марта, д. 24/5</t>
  </si>
  <si>
    <t>заварен на 01.01.2011г</t>
  </si>
  <si>
    <t xml:space="preserve">Плановая сумма по тарифу </t>
  </si>
  <si>
    <t>ул. 8 Марта, д. 26</t>
  </si>
  <si>
    <t>ул. 8 Марта, д. 26/2</t>
  </si>
  <si>
    <t>Вентиляция кв.57</t>
  </si>
  <si>
    <t xml:space="preserve">Вентиляция </t>
  </si>
  <si>
    <t>ул. 8 Марта, д. 26/3</t>
  </si>
  <si>
    <t>ул. 8 Марта, д. 26/4</t>
  </si>
  <si>
    <t>ул. 8 Марта, д. 28</t>
  </si>
  <si>
    <t>шт.</t>
  </si>
  <si>
    <t>заварен на 01.01.10</t>
  </si>
  <si>
    <t>Финансовый итог  ("+" перевыполнили, "-" недовыполнили) Фин. итог  =  всего оказано услуг - плановая сумма по тарифу + задолженность — возврат за снижение качества оказанных услуг (при наличии)</t>
  </si>
  <si>
    <t>ул. 8 Марта, д. 30</t>
  </si>
  <si>
    <t>доходы от размещения интернетоборудования</t>
  </si>
  <si>
    <t>Финансовый итог  ("+" перевыполнили, "-" недовыполнили)   Фин. итог  =  всего оказано услуг - плановая сумма по тарифу + задолженность -  возврат за снижение качества оказанных услуг (при наличии)</t>
  </si>
  <si>
    <t>ул. 8 Марта, д. 32</t>
  </si>
  <si>
    <t>ул. 8 Марта, д. 32 а</t>
  </si>
  <si>
    <t xml:space="preserve">       доходы от размещения интернетоборудования</t>
  </si>
  <si>
    <t>Исп. Лексина  Е.В.</t>
  </si>
  <si>
    <t>ул. Ворошилова, д. 7</t>
  </si>
  <si>
    <t xml:space="preserve">Плановая сумма по тарифу : в т.ч. </t>
  </si>
  <si>
    <t xml:space="preserve">     доходы от размещения интернетоборудования</t>
  </si>
  <si>
    <t>ул. Ворошилова, д. 11</t>
  </si>
  <si>
    <t>8, 9, 10</t>
  </si>
  <si>
    <t>заварен на 01.01.2010г</t>
  </si>
  <si>
    <t>ООО "Лифт- Комфорт" (техническое обслуживание лифта)</t>
  </si>
  <si>
    <t>Ремонт квартир (Вентиляция кв. 69)</t>
  </si>
  <si>
    <t>ул. Гоголя, д.1</t>
  </si>
  <si>
    <t>ул. Гоголя, д. 2</t>
  </si>
  <si>
    <t>ул. Горького, д. 7</t>
  </si>
  <si>
    <t>Финансовый итог  ("+" перевыполнили, "-" недовыполнили)     Фин. итог  =  всего оказано услуг - плановая сумма по тарифу + задолженность  - возврат за снижение качества оказанных услуг (при наличии)</t>
  </si>
  <si>
    <t>ул. Горького, д. 9</t>
  </si>
  <si>
    <t>Финансовый итог  ("+" перевыполнили, "-" недовыполнили) Фин. итог  =  всего оказано услуг - плановая сумма по тарифу + задолженность  - возврат за снижение качества оказанных услуг (при наличии)</t>
  </si>
  <si>
    <t>ул. Горького, д. 11/2</t>
  </si>
  <si>
    <t>ул. Горького, д.13/2</t>
  </si>
  <si>
    <t>ул. Горького, д.17</t>
  </si>
  <si>
    <t>заварен на 01.01.10.</t>
  </si>
  <si>
    <t>Финансовый итог  ("+" перевыполнили, "-" недовыполнили)  Фин. итог  =  всего оказано услуг - плановая сумма по тарифу + задолженность -возврат за снижение качества оказанных услуг (при наличии)</t>
  </si>
  <si>
    <t>ул. Горького, д.26</t>
  </si>
  <si>
    <t>Ремонт фасада</t>
  </si>
  <si>
    <t xml:space="preserve">  </t>
  </si>
  <si>
    <t xml:space="preserve">   </t>
  </si>
  <si>
    <t>ул. Громовой Ульяны, д. 7</t>
  </si>
  <si>
    <t>ул. Громовой Ульяны, д. 4</t>
  </si>
  <si>
    <t>ул. Малые Ключи, д.1</t>
  </si>
  <si>
    <t xml:space="preserve">Ремонт вентиляции </t>
  </si>
  <si>
    <t>ул. Малые Ключи, д.2</t>
  </si>
  <si>
    <t>Финансовый итог  ("+" перевыполнили, "-" недовыполнили) Фин. итог  =  всего оказано услуг - плановая сумма по тарифу + задолженность - возврат за снижение качества оказанных услуг (при наличии)</t>
  </si>
  <si>
    <t>ул. Папина, д. 1а</t>
  </si>
  <si>
    <t>Демонтаж, монтаж, поверка приборов учета тепловой энергии и теплоносителя</t>
  </si>
  <si>
    <t>ул. Папина, 1Б</t>
  </si>
  <si>
    <t>ул. Папина, д. 1в</t>
  </si>
  <si>
    <t>С 01.01. - 30.06.2014г</t>
  </si>
  <si>
    <t>С 01.09.- 31.12.2013г</t>
  </si>
  <si>
    <t>пр. Победы, 2</t>
  </si>
  <si>
    <t xml:space="preserve">      Вентиляция</t>
  </si>
  <si>
    <t>Финансовый итог  ("+" перевыполнили, "-" недовыполнили)    Фин. итог  =  всего оказано услуг - плановая сумма по тарифу + задолженность   - возврат за снижение качества оказанных услуг (при наличии)</t>
  </si>
  <si>
    <t>пр. Победы, 4</t>
  </si>
  <si>
    <t>пр. Победы, 6</t>
  </si>
  <si>
    <t>Исп.Лексина Е.В.</t>
  </si>
  <si>
    <t>пр. Победы, 8</t>
  </si>
  <si>
    <t>Возврат денежных средств в связи с перерасчетом  тарифа</t>
  </si>
  <si>
    <t>пр. Победы, 10</t>
  </si>
  <si>
    <t>Карнизные плиты</t>
  </si>
  <si>
    <t xml:space="preserve">Кровельные работы </t>
  </si>
  <si>
    <t>Директор ООО ГУК "Центральная 2"                                                          С.П. Селезнев</t>
  </si>
  <si>
    <t>пр. Победы, 12</t>
  </si>
  <si>
    <t>пр. Победы, 14</t>
  </si>
  <si>
    <t>ул. Советская, д. 24а</t>
  </si>
  <si>
    <t>С 01.01.- 30.04.2014г</t>
  </si>
  <si>
    <t>С 01.05.- 30.06.2014г</t>
  </si>
  <si>
    <t>С 01.12.- 31.12.2014г</t>
  </si>
  <si>
    <t>ул. Советская, д. 26</t>
  </si>
  <si>
    <t>ул. Советская, д. 26 "В"</t>
  </si>
  <si>
    <t>ул. Советская, д. 30</t>
  </si>
  <si>
    <t>ул. Советская, д. 68</t>
  </si>
  <si>
    <t>Поверка ОДПУ</t>
  </si>
  <si>
    <t>ул. Союзная, д. 3</t>
  </si>
  <si>
    <t>Вентиляция (кв.32)</t>
  </si>
  <si>
    <t>ул. Союзная, д. 15</t>
  </si>
  <si>
    <t xml:space="preserve">ул. Толстого Льва, д.7 </t>
  </si>
  <si>
    <t>ул. Толстого Льва, д. 9</t>
  </si>
  <si>
    <t>ул. Толстого Льва, д. 40</t>
  </si>
  <si>
    <t>заварен на 01.08.11</t>
  </si>
  <si>
    <t>ул. Толстого Льва, д. 42</t>
  </si>
  <si>
    <t>Вентиляция ( кв. 24)</t>
  </si>
  <si>
    <t>Отчет ООО  "ЛУК" по обслуживанию многоквартирного  дома за  2014г.</t>
  </si>
  <si>
    <t>ул. Толстого Льва, д. 44</t>
  </si>
  <si>
    <t>заварен на 01.01.12</t>
  </si>
  <si>
    <t>Отопление (1подъезд лестн. отопление)</t>
  </si>
  <si>
    <t>ул. Толстого Льва, д. 46</t>
  </si>
  <si>
    <t>ул. Фрунзе, д. 2</t>
  </si>
  <si>
    <t>ул. Юн. Натуралистов, д. 14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</si>
</sst>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2"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.5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1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4" fontId="2" fillId="2" borderId="0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3" fillId="0" borderId="0" xfId="0" applyFont="1" applyFill="1" applyAlignment="1">
      <alignment horizontal="right"/>
    </xf>
    <xf numFmtId="164" fontId="4" fillId="0" borderId="0" xfId="0" applyFont="1" applyFill="1" applyAlignment="1">
      <alignment horizontal="center"/>
    </xf>
    <xf numFmtId="164" fontId="3" fillId="0" borderId="1" xfId="0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5" fillId="0" borderId="0" xfId="0" applyFont="1" applyAlignment="1">
      <alignment/>
    </xf>
    <xf numFmtId="164" fontId="4" fillId="3" borderId="0" xfId="0" applyFont="1" applyFill="1" applyAlignment="1">
      <alignment/>
    </xf>
    <xf numFmtId="164" fontId="1" fillId="3" borderId="3" xfId="0" applyFont="1" applyFill="1" applyBorder="1" applyAlignment="1">
      <alignment/>
    </xf>
    <xf numFmtId="164" fontId="1" fillId="3" borderId="0" xfId="0" applyFont="1" applyFill="1" applyAlignment="1">
      <alignment/>
    </xf>
    <xf numFmtId="164" fontId="1" fillId="3" borderId="1" xfId="0" applyFont="1" applyFill="1" applyBorder="1" applyAlignment="1">
      <alignment/>
    </xf>
    <xf numFmtId="164" fontId="4" fillId="3" borderId="0" xfId="0" applyFont="1" applyFill="1" applyAlignment="1">
      <alignment wrapText="1"/>
    </xf>
    <xf numFmtId="164" fontId="1" fillId="3" borderId="1" xfId="0" applyFont="1" applyFill="1" applyBorder="1" applyAlignment="1">
      <alignment horizontal="center" wrapText="1"/>
    </xf>
    <xf numFmtId="164" fontId="1" fillId="3" borderId="4" xfId="0" applyFont="1" applyFill="1" applyBorder="1" applyAlignment="1">
      <alignment/>
    </xf>
    <xf numFmtId="164" fontId="1" fillId="3" borderId="1" xfId="0" applyFont="1" applyFill="1" applyBorder="1" applyAlignment="1">
      <alignment horizontal="center"/>
    </xf>
    <xf numFmtId="164" fontId="1" fillId="3" borderId="5" xfId="0" applyFont="1" applyFill="1" applyBorder="1" applyAlignment="1">
      <alignment horizontal="center" wrapText="1"/>
    </xf>
    <xf numFmtId="164" fontId="4" fillId="3" borderId="0" xfId="0" applyFont="1" applyFill="1" applyAlignment="1">
      <alignment/>
    </xf>
    <xf numFmtId="164" fontId="1" fillId="3" borderId="4" xfId="0" applyFont="1" applyFill="1" applyBorder="1" applyAlignment="1">
      <alignment horizontal="center"/>
    </xf>
    <xf numFmtId="164" fontId="1" fillId="3" borderId="6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6" fontId="1" fillId="4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 wrapText="1"/>
    </xf>
    <xf numFmtId="166" fontId="1" fillId="4" borderId="4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right"/>
    </xf>
    <xf numFmtId="166" fontId="5" fillId="4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 horizontal="left" indent="2"/>
    </xf>
    <xf numFmtId="164" fontId="5" fillId="0" borderId="1" xfId="0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left"/>
    </xf>
    <xf numFmtId="164" fontId="6" fillId="0" borderId="1" xfId="0" applyFont="1" applyFill="1" applyBorder="1" applyAlignment="1">
      <alignment/>
    </xf>
    <xf numFmtId="166" fontId="6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/>
    </xf>
    <xf numFmtId="166" fontId="6" fillId="4" borderId="1" xfId="0" applyNumberFormat="1" applyFont="1" applyFill="1" applyBorder="1" applyAlignment="1">
      <alignment/>
    </xf>
    <xf numFmtId="166" fontId="5" fillId="4" borderId="1" xfId="0" applyNumberFormat="1" applyFont="1" applyFill="1" applyBorder="1" applyAlignment="1">
      <alignment horizontal="center" vertical="center"/>
    </xf>
    <xf numFmtId="164" fontId="1" fillId="4" borderId="0" xfId="0" applyFont="1" applyFill="1" applyAlignment="1">
      <alignment/>
    </xf>
    <xf numFmtId="164" fontId="1" fillId="2" borderId="3" xfId="0" applyFont="1" applyFill="1" applyBorder="1" applyAlignment="1">
      <alignment/>
    </xf>
    <xf numFmtId="164" fontId="1" fillId="5" borderId="1" xfId="0" applyFont="1" applyFill="1" applyBorder="1" applyAlignment="1">
      <alignment/>
    </xf>
    <xf numFmtId="166" fontId="1" fillId="5" borderId="1" xfId="0" applyNumberFormat="1" applyFont="1" applyFill="1" applyBorder="1" applyAlignment="1">
      <alignment/>
    </xf>
    <xf numFmtId="164" fontId="7" fillId="0" borderId="0" xfId="0" applyFont="1" applyFill="1" applyAlignment="1">
      <alignment/>
    </xf>
    <xf numFmtId="166" fontId="5" fillId="4" borderId="1" xfId="0" applyNumberFormat="1" applyFont="1" applyFill="1" applyBorder="1" applyAlignment="1">
      <alignment vertical="center"/>
    </xf>
    <xf numFmtId="164" fontId="1" fillId="4" borderId="1" xfId="0" applyFont="1" applyFill="1" applyBorder="1" applyAlignment="1">
      <alignment/>
    </xf>
    <xf numFmtId="164" fontId="1" fillId="4" borderId="1" xfId="0" applyFont="1" applyFill="1" applyBorder="1" applyAlignment="1">
      <alignment wrapText="1"/>
    </xf>
    <xf numFmtId="164" fontId="5" fillId="4" borderId="1" xfId="0" applyFont="1" applyFill="1" applyBorder="1" applyAlignment="1">
      <alignment horizontal="right"/>
    </xf>
    <xf numFmtId="164" fontId="5" fillId="4" borderId="1" xfId="0" applyFont="1" applyFill="1" applyBorder="1" applyAlignment="1">
      <alignment horizontal="center" wrapText="1"/>
    </xf>
    <xf numFmtId="164" fontId="1" fillId="4" borderId="1" xfId="0" applyFont="1" applyFill="1" applyBorder="1" applyAlignment="1">
      <alignment horizontal="left" indent="2"/>
    </xf>
    <xf numFmtId="164" fontId="5" fillId="4" borderId="1" xfId="0" applyFont="1" applyFill="1" applyBorder="1" applyAlignment="1">
      <alignment horizontal="right" wrapText="1"/>
    </xf>
    <xf numFmtId="164" fontId="6" fillId="4" borderId="1" xfId="0" applyFont="1" applyFill="1" applyBorder="1" applyAlignment="1">
      <alignment/>
    </xf>
    <xf numFmtId="166" fontId="5" fillId="0" borderId="1" xfId="0" applyNumberFormat="1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/>
    </xf>
    <xf numFmtId="164" fontId="1" fillId="4" borderId="3" xfId="0" applyFont="1" applyFill="1" applyBorder="1" applyAlignment="1">
      <alignment/>
    </xf>
    <xf numFmtId="166" fontId="1" fillId="0" borderId="4" xfId="0" applyNumberFormat="1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164" fontId="8" fillId="0" borderId="7" xfId="0" applyFont="1" applyBorder="1" applyAlignment="1">
      <alignment/>
    </xf>
    <xf numFmtId="166" fontId="1" fillId="4" borderId="7" xfId="0" applyNumberFormat="1" applyFont="1" applyFill="1" applyBorder="1" applyAlignment="1">
      <alignment/>
    </xf>
    <xf numFmtId="164" fontId="1" fillId="0" borderId="7" xfId="0" applyFont="1" applyBorder="1" applyAlignment="1">
      <alignment/>
    </xf>
    <xf numFmtId="166" fontId="1" fillId="4" borderId="7" xfId="0" applyNumberFormat="1" applyFont="1" applyFill="1" applyBorder="1" applyAlignment="1">
      <alignment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vertical="center"/>
    </xf>
    <xf numFmtId="164" fontId="9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1" fillId="4" borderId="7" xfId="0" applyFont="1" applyFill="1" applyBorder="1" applyAlignment="1">
      <alignment/>
    </xf>
    <xf numFmtId="164" fontId="5" fillId="0" borderId="0" xfId="0" applyFont="1" applyFill="1" applyAlignment="1">
      <alignment horizontal="right"/>
    </xf>
    <xf numFmtId="164" fontId="1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65"/>
  <sheetViews>
    <sheetView zoomScale="75" zoomScaleNormal="75" workbookViewId="0" topLeftCell="A4">
      <selection activeCell="G57" sqref="G57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6.71093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1.7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2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4167.7</v>
      </c>
      <c r="F3" s="8" t="s">
        <v>5</v>
      </c>
      <c r="G3" s="11">
        <v>5</v>
      </c>
    </row>
    <row r="4" spans="1:7" ht="18.75">
      <c r="A4" s="12" t="s">
        <v>6</v>
      </c>
      <c r="B4" s="13">
        <v>9.59</v>
      </c>
      <c r="C4" s="1" t="s">
        <v>7</v>
      </c>
      <c r="F4" s="8" t="s">
        <v>8</v>
      </c>
      <c r="G4" s="9">
        <v>1977</v>
      </c>
    </row>
    <row r="5" spans="1:7" ht="18.75">
      <c r="A5" s="12" t="s">
        <v>6</v>
      </c>
      <c r="B5" s="13">
        <v>9.74</v>
      </c>
      <c r="C5" s="1" t="s">
        <v>9</v>
      </c>
      <c r="F5" s="8"/>
      <c r="G5" s="9"/>
    </row>
    <row r="6" spans="1:3" ht="18.75">
      <c r="A6" s="12" t="s">
        <v>6</v>
      </c>
      <c r="B6" s="13">
        <v>9.79</v>
      </c>
      <c r="C6" s="1" t="s">
        <v>10</v>
      </c>
    </row>
    <row r="7" spans="1:256" ht="18.75">
      <c r="A7" s="12" t="s">
        <v>6</v>
      </c>
      <c r="B7" s="14">
        <v>10.21</v>
      </c>
      <c r="C7" s="1" t="s">
        <v>11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7" ht="18.75" hidden="1">
      <c r="A8" s="15" t="s">
        <v>12</v>
      </c>
      <c r="B8" s="16">
        <v>456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35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1326</v>
      </c>
      <c r="C11" s="18">
        <v>1157</v>
      </c>
      <c r="D11" s="18">
        <v>861</v>
      </c>
      <c r="E11" s="18">
        <v>1451</v>
      </c>
      <c r="F11" s="17"/>
      <c r="G11" s="17"/>
    </row>
    <row r="12" spans="1:7" ht="18.75" hidden="1">
      <c r="A12" s="15" t="s">
        <v>19</v>
      </c>
      <c r="B12" s="21">
        <v>0</v>
      </c>
      <c r="C12" s="17" t="s">
        <v>20</v>
      </c>
      <c r="D12" s="17"/>
      <c r="E12" s="17"/>
      <c r="F12" s="17"/>
      <c r="G12" s="17"/>
    </row>
    <row r="13" spans="1:7" ht="18.75" hidden="1">
      <c r="A13" s="15" t="s">
        <v>21</v>
      </c>
      <c r="B13" s="21">
        <v>247.5</v>
      </c>
      <c r="C13" s="21">
        <v>833.4</v>
      </c>
      <c r="D13" s="21">
        <f>B13+C13</f>
        <v>1080.9</v>
      </c>
      <c r="E13" s="17"/>
      <c r="F13" s="17"/>
      <c r="G13" s="17"/>
    </row>
    <row r="14" spans="1:7" ht="48.75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57</v>
      </c>
      <c r="C15" s="25"/>
      <c r="D15" s="25">
        <v>57</v>
      </c>
      <c r="E15" s="26">
        <f>D15+C15+B15</f>
        <v>114</v>
      </c>
      <c r="F15" s="18"/>
      <c r="G15" s="17"/>
    </row>
    <row r="16" spans="1:7" ht="16.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6.5">
      <c r="A17" s="29" t="s">
        <v>30</v>
      </c>
      <c r="B17" s="29"/>
      <c r="C17" s="29"/>
      <c r="D17" s="29"/>
      <c r="E17" s="29"/>
      <c r="F17" s="29"/>
      <c r="G17" s="30">
        <f>B8*7.012*12</f>
        <v>38369.664</v>
      </c>
    </row>
    <row r="18" spans="1:7" ht="16.5" hidden="1">
      <c r="A18" s="29" t="s">
        <v>31</v>
      </c>
      <c r="B18" s="29"/>
      <c r="C18" s="29"/>
      <c r="D18" s="29"/>
      <c r="E18" s="29"/>
      <c r="F18" s="29"/>
      <c r="G18" s="30">
        <f>B9*35.705*12</f>
        <v>0</v>
      </c>
    </row>
    <row r="19" spans="1:7" ht="16.5" customHeight="1">
      <c r="A19" s="29" t="s">
        <v>32</v>
      </c>
      <c r="B19" s="29"/>
      <c r="C19" s="29"/>
      <c r="D19" s="29"/>
      <c r="E19" s="29"/>
      <c r="F19" s="29"/>
      <c r="G19" s="30">
        <f>B12*0.3613*12</f>
        <v>0</v>
      </c>
    </row>
    <row r="20" spans="1:7" ht="16.5">
      <c r="A20" s="29" t="s">
        <v>33</v>
      </c>
      <c r="B20" s="29"/>
      <c r="C20" s="29"/>
      <c r="D20" s="29"/>
      <c r="E20" s="29"/>
      <c r="F20" s="29"/>
      <c r="G20" s="30">
        <f>(B11*9.46/100*189)+(C11*7.09/100*113)+(D11*23.66/100*71)+(E11*1.77/100*12)</f>
        <v>47749.408299999996</v>
      </c>
    </row>
    <row r="21" spans="1:7" ht="18.75" customHeight="1">
      <c r="A21" s="31" t="s">
        <v>34</v>
      </c>
      <c r="B21" s="31"/>
      <c r="C21" s="31"/>
      <c r="D21" s="31"/>
      <c r="E21" s="31"/>
      <c r="F21" s="31"/>
      <c r="G21" s="32">
        <f>((1014567.18*1.18+308700)+213742)/244019.8*B3</f>
        <v>29370.187394553555</v>
      </c>
    </row>
    <row r="22" spans="1:7" ht="16.5">
      <c r="A22" s="29" t="s">
        <v>35</v>
      </c>
      <c r="B22" s="29"/>
      <c r="C22" s="29"/>
      <c r="D22" s="29"/>
      <c r="E22" s="29"/>
      <c r="F22" s="29"/>
      <c r="G22" s="30">
        <f>D13*0.135*6</f>
        <v>875.529</v>
      </c>
    </row>
    <row r="23" spans="1:7" ht="16.5">
      <c r="A23" s="29" t="s">
        <v>36</v>
      </c>
      <c r="B23" s="29"/>
      <c r="C23" s="29"/>
      <c r="D23" s="29"/>
      <c r="E23" s="29"/>
      <c r="F23" s="29"/>
      <c r="G23" s="30">
        <f>114.94+3480.71+1580.49+4956.89</f>
        <v>10133.03</v>
      </c>
    </row>
    <row r="24" spans="1:7" ht="16.5">
      <c r="A24" s="29" t="s">
        <v>37</v>
      </c>
      <c r="B24" s="29"/>
      <c r="C24" s="29"/>
      <c r="D24" s="29"/>
      <c r="E24" s="29"/>
      <c r="F24" s="29"/>
      <c r="G24" s="30">
        <f>B3*0.885*12</f>
        <v>44260.974</v>
      </c>
    </row>
    <row r="25" spans="1:7" ht="16.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6.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6.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6.5">
      <c r="A28" s="29" t="s">
        <v>41</v>
      </c>
      <c r="B28" s="29"/>
      <c r="C28" s="29"/>
      <c r="D28" s="29"/>
      <c r="E28" s="29"/>
      <c r="F28" s="29"/>
      <c r="G28" s="30">
        <f>4224+3017.52+539.12</f>
        <v>7780.64</v>
      </c>
    </row>
    <row r="29" spans="1:7" ht="16.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6.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6.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6.5">
      <c r="A32" s="29" t="s">
        <v>45</v>
      </c>
      <c r="B32" s="29"/>
      <c r="C32" s="29"/>
      <c r="D32" s="29"/>
      <c r="E32" s="29"/>
      <c r="F32" s="29"/>
      <c r="G32" s="30">
        <f>B3*1.81*6+B3*1.86*6</f>
        <v>91772.754</v>
      </c>
    </row>
    <row r="33" spans="1:7" ht="18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536.94</v>
      </c>
    </row>
    <row r="34" spans="1:7" ht="16.5">
      <c r="A34" s="29" t="s">
        <v>47</v>
      </c>
      <c r="B34" s="29"/>
      <c r="C34" s="29"/>
      <c r="D34" s="29"/>
      <c r="E34" s="29"/>
      <c r="F34" s="29"/>
      <c r="G34" s="30">
        <f>B3*0.65*12</f>
        <v>32508.06</v>
      </c>
    </row>
    <row r="35" spans="1:7" ht="16.5">
      <c r="A35" s="29" t="s">
        <v>48</v>
      </c>
      <c r="B35" s="29"/>
      <c r="C35" s="29"/>
      <c r="D35" s="29"/>
      <c r="E35" s="29"/>
      <c r="F35" s="29"/>
      <c r="G35" s="30">
        <f>B3*0.82*12</f>
        <v>41010.168000000005</v>
      </c>
    </row>
    <row r="36" spans="1:7" ht="16.5" customHeight="1">
      <c r="A36" s="29" t="s">
        <v>49</v>
      </c>
      <c r="B36" s="29"/>
      <c r="C36" s="29"/>
      <c r="D36" s="29"/>
      <c r="E36" s="29"/>
      <c r="F36" s="29"/>
      <c r="G36" s="30">
        <f>B3*0.9*12</f>
        <v>45011.159999999996</v>
      </c>
    </row>
    <row r="37" spans="1:7" ht="16.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389378.51469455357</v>
      </c>
    </row>
    <row r="38" spans="1:7" ht="18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6.5" hidden="1">
      <c r="A39" s="29" t="s">
        <v>52</v>
      </c>
      <c r="B39" s="29"/>
      <c r="C39" s="29"/>
      <c r="D39" s="29"/>
      <c r="E39" s="29"/>
      <c r="F39" s="29"/>
      <c r="G39" s="36">
        <f>B3*2.96*12</f>
        <v>148036.704</v>
      </c>
    </row>
    <row r="40" spans="1:7" ht="16.5">
      <c r="A40" s="29" t="s">
        <v>53</v>
      </c>
      <c r="B40" s="29"/>
      <c r="C40" s="29"/>
      <c r="D40" s="29"/>
      <c r="E40" s="29"/>
      <c r="F40" s="29"/>
      <c r="G40" s="36"/>
    </row>
    <row r="41" spans="1:7" ht="16.5">
      <c r="A41" s="37" t="s">
        <v>54</v>
      </c>
      <c r="B41" s="37"/>
      <c r="C41" s="37"/>
      <c r="D41" s="37"/>
      <c r="E41" s="37"/>
      <c r="F41" s="37"/>
      <c r="G41" s="36">
        <v>2013.92</v>
      </c>
    </row>
    <row r="42" spans="1:7" ht="16.5">
      <c r="A42" s="37" t="s">
        <v>55</v>
      </c>
      <c r="B42" s="37"/>
      <c r="C42" s="37"/>
      <c r="D42" s="37"/>
      <c r="E42" s="37"/>
      <c r="F42" s="37"/>
      <c r="G42" s="36"/>
    </row>
    <row r="43" spans="1:7" ht="16.5">
      <c r="A43" s="37" t="s">
        <v>56</v>
      </c>
      <c r="B43" s="37"/>
      <c r="C43" s="37"/>
      <c r="D43" s="37"/>
      <c r="E43" s="37"/>
      <c r="F43" s="37"/>
      <c r="G43" s="36"/>
    </row>
    <row r="44" spans="1:7" ht="16.5" hidden="1">
      <c r="A44" s="37" t="s">
        <v>57</v>
      </c>
      <c r="B44" s="37"/>
      <c r="C44" s="37"/>
      <c r="D44" s="37"/>
      <c r="E44" s="37"/>
      <c r="F44" s="37"/>
      <c r="G44" s="36"/>
    </row>
    <row r="45" spans="1:7" ht="16.5" hidden="1">
      <c r="A45" s="37" t="s">
        <v>58</v>
      </c>
      <c r="B45" s="37"/>
      <c r="C45" s="37"/>
      <c r="D45" s="37"/>
      <c r="E45" s="37"/>
      <c r="F45" s="37"/>
      <c r="G45" s="36"/>
    </row>
    <row r="46" spans="1:7" ht="16.5">
      <c r="A46" s="37" t="s">
        <v>59</v>
      </c>
      <c r="B46" s="37"/>
      <c r="C46" s="37"/>
      <c r="D46" s="37"/>
      <c r="E46" s="37"/>
      <c r="F46" s="37"/>
      <c r="G46" s="36">
        <v>244.24</v>
      </c>
    </row>
    <row r="47" spans="1:7" ht="16.5">
      <c r="A47" s="37" t="s">
        <v>60</v>
      </c>
      <c r="B47" s="37"/>
      <c r="C47" s="37"/>
      <c r="D47" s="37"/>
      <c r="E47" s="37"/>
      <c r="F47" s="37"/>
      <c r="G47" s="36">
        <f>1986.53+42.07</f>
        <v>2028.6</v>
      </c>
    </row>
    <row r="48" spans="1:7" ht="16.5">
      <c r="A48" s="37" t="s">
        <v>61</v>
      </c>
      <c r="B48" s="37"/>
      <c r="C48" s="37"/>
      <c r="D48" s="37"/>
      <c r="E48" s="37"/>
      <c r="F48" s="37"/>
      <c r="G48" s="36">
        <f>548.91+988.15+3780.08+3780.08+5040.11+3780.08</f>
        <v>17917.409999999996</v>
      </c>
    </row>
    <row r="49" spans="1:7" ht="16.5">
      <c r="A49" s="37" t="s">
        <v>62</v>
      </c>
      <c r="B49" s="37"/>
      <c r="C49" s="37"/>
      <c r="D49" s="37"/>
      <c r="E49" s="37"/>
      <c r="F49" s="37"/>
      <c r="G49" s="36">
        <v>1895.45</v>
      </c>
    </row>
    <row r="50" spans="1:7" ht="16.5" hidden="1">
      <c r="A50" s="37" t="s">
        <v>63</v>
      </c>
      <c r="B50" s="37"/>
      <c r="C50" s="37"/>
      <c r="D50" s="37"/>
      <c r="E50" s="37"/>
      <c r="F50" s="37"/>
      <c r="G50" s="36"/>
    </row>
    <row r="51" spans="1:7" ht="16.5" hidden="1">
      <c r="A51" s="37" t="s">
        <v>64</v>
      </c>
      <c r="B51" s="37"/>
      <c r="C51" s="37"/>
      <c r="D51" s="37"/>
      <c r="E51" s="37"/>
      <c r="F51" s="37"/>
      <c r="G51" s="36"/>
    </row>
    <row r="52" spans="1:7" ht="16.5">
      <c r="A52" s="37" t="s">
        <v>65</v>
      </c>
      <c r="B52" s="37"/>
      <c r="C52" s="37"/>
      <c r="D52" s="37"/>
      <c r="E52" s="37"/>
      <c r="F52" s="37"/>
      <c r="G52" s="36">
        <v>39631.76</v>
      </c>
    </row>
    <row r="53" spans="1:7" ht="16.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6.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8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63731.380000000005</v>
      </c>
    </row>
    <row r="56" spans="1:7" ht="18.75" customHeight="1">
      <c r="A56" s="38" t="s">
        <v>69</v>
      </c>
      <c r="B56" s="38"/>
      <c r="C56" s="38"/>
      <c r="D56" s="38"/>
      <c r="E56" s="38"/>
      <c r="F56" s="38"/>
      <c r="G56" s="39">
        <f>G37+G55</f>
        <v>453109.8946945536</v>
      </c>
    </row>
    <row r="57" spans="1:7" ht="16.5">
      <c r="A57" s="29" t="s">
        <v>70</v>
      </c>
      <c r="B57" s="29"/>
      <c r="C57" s="29"/>
      <c r="D57" s="29"/>
      <c r="E57" s="29"/>
      <c r="F57" s="29"/>
      <c r="G57" s="36">
        <f>-540.83-5228.25</f>
        <v>-5769.08</v>
      </c>
    </row>
    <row r="58" spans="1:7" ht="16.5" customHeight="1">
      <c r="A58" s="40" t="s">
        <v>71</v>
      </c>
      <c r="B58" s="40"/>
      <c r="C58" s="40"/>
      <c r="D58" s="40"/>
      <c r="E58" s="40"/>
      <c r="F58" s="40"/>
      <c r="G58" s="34">
        <f>B3*B4*4+B3*B5*2+B3*B6*5+B3*B7*1+G59</f>
        <v>501982.49999999994</v>
      </c>
    </row>
    <row r="59" spans="1:7" ht="16.5">
      <c r="A59" s="41" t="s">
        <v>72</v>
      </c>
      <c r="B59" s="41"/>
      <c r="C59" s="41"/>
      <c r="D59" s="41"/>
      <c r="E59" s="41"/>
      <c r="F59" s="41"/>
      <c r="G59" s="34">
        <f>160*1*12+1*141.6*12+1*215.6*12+1*141.6*12+269*2*12</f>
        <v>14361.599999999999</v>
      </c>
    </row>
    <row r="60" spans="1:7" ht="16.5">
      <c r="A60" s="42" t="s">
        <v>73</v>
      </c>
      <c r="B60" s="42"/>
      <c r="C60" s="42"/>
      <c r="D60" s="42"/>
      <c r="E60" s="42"/>
      <c r="F60" s="42"/>
      <c r="G60" s="43">
        <v>55787.69</v>
      </c>
    </row>
    <row r="61" spans="1:7" ht="53.25" customHeight="1">
      <c r="A61" s="44" t="s">
        <v>74</v>
      </c>
      <c r="B61" s="44"/>
      <c r="C61" s="44"/>
      <c r="D61" s="44"/>
      <c r="E61" s="44"/>
      <c r="F61" s="44"/>
      <c r="G61" s="45">
        <f>G56-G58+G60-G57</f>
        <v>12684.164694553632</v>
      </c>
    </row>
    <row r="62" ht="16.5"/>
    <row r="63" ht="16.5"/>
    <row r="64" ht="16.5"/>
    <row r="65" ht="16.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19652777777777777" right="0" top="0" bottom="0" header="0.5118055555555555" footer="0.5118055555555555"/>
  <pageSetup horizontalDpi="300" verticalDpi="3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G66"/>
  <sheetViews>
    <sheetView zoomScale="75" zoomScaleNormal="75" workbookViewId="0" topLeftCell="A1">
      <selection activeCell="G21" sqref="G21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57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7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117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4351.2</v>
      </c>
      <c r="F3" s="8" t="s">
        <v>5</v>
      </c>
      <c r="G3" s="11">
        <v>6</v>
      </c>
    </row>
    <row r="4" spans="1:7" ht="18.75">
      <c r="A4" s="12" t="s">
        <v>6</v>
      </c>
      <c r="B4" s="46">
        <v>11.39</v>
      </c>
      <c r="C4" s="1" t="s">
        <v>93</v>
      </c>
      <c r="F4" s="8" t="s">
        <v>8</v>
      </c>
      <c r="G4" s="9">
        <v>1971</v>
      </c>
    </row>
    <row r="5" spans="1:7" ht="18.75">
      <c r="A5" s="12" t="s">
        <v>6</v>
      </c>
      <c r="B5" s="46">
        <v>11.54</v>
      </c>
      <c r="C5" s="1" t="s">
        <v>94</v>
      </c>
      <c r="F5" s="8"/>
      <c r="G5" s="9"/>
    </row>
    <row r="6" spans="1:7" ht="18.75">
      <c r="A6" s="12" t="s">
        <v>6</v>
      </c>
      <c r="B6" s="46">
        <v>11.59</v>
      </c>
      <c r="C6" s="1" t="s">
        <v>10</v>
      </c>
      <c r="F6" s="8"/>
      <c r="G6" s="9"/>
    </row>
    <row r="7" spans="1:3" ht="18.75">
      <c r="A7" s="12" t="s">
        <v>6</v>
      </c>
      <c r="B7" s="46">
        <v>12.14</v>
      </c>
      <c r="C7" s="1" t="s">
        <v>95</v>
      </c>
    </row>
    <row r="8" spans="1:7" ht="18.75" hidden="1">
      <c r="A8" s="15" t="s">
        <v>12</v>
      </c>
      <c r="B8" s="16">
        <v>415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1330</v>
      </c>
      <c r="C11" s="18">
        <v>3162</v>
      </c>
      <c r="D11" s="18">
        <v>1030</v>
      </c>
      <c r="E11" s="18">
        <v>3162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883.3</v>
      </c>
      <c r="C13" s="21">
        <v>870.2</v>
      </c>
      <c r="D13" s="21">
        <f>B13+C13</f>
        <v>1753.5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88</v>
      </c>
      <c r="C15" s="25"/>
      <c r="D15" s="25">
        <v>88</v>
      </c>
      <c r="E15" s="26">
        <f>D15+C15+B15</f>
        <v>176</v>
      </c>
      <c r="F15" s="18"/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0">
        <f>B8*8.689*12</f>
        <v>43271.22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0">
        <f>B9*35.705*12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0">
        <f>B12*0.3613*12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0">
        <f>(B11*12.84/100*189)+(C11*9.63/100*113)+(D11*32.11/100*71)+(E11*2.41/100*12)</f>
        <v>91080.96920000002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30663.33117461321</v>
      </c>
    </row>
    <row r="22" spans="1:7" ht="15.75">
      <c r="A22" s="29" t="s">
        <v>35</v>
      </c>
      <c r="B22" s="29"/>
      <c r="C22" s="29"/>
      <c r="D22" s="29"/>
      <c r="E22" s="29"/>
      <c r="F22" s="29"/>
      <c r="G22" s="30">
        <f>D13*0.135*6</f>
        <v>1420.335</v>
      </c>
    </row>
    <row r="23" spans="1:7" ht="16.5">
      <c r="A23" s="29" t="s">
        <v>36</v>
      </c>
      <c r="B23" s="29"/>
      <c r="C23" s="29"/>
      <c r="D23" s="29"/>
      <c r="E23" s="29"/>
      <c r="F23" s="29"/>
      <c r="G23" s="30">
        <f>114.94+5373.72+1099.17+474.15+5948.26</f>
        <v>13010.24</v>
      </c>
    </row>
    <row r="24" spans="1:7" ht="15.75">
      <c r="A24" s="29" t="s">
        <v>37</v>
      </c>
      <c r="B24" s="29"/>
      <c r="C24" s="29"/>
      <c r="D24" s="29"/>
      <c r="E24" s="29"/>
      <c r="F24" s="29"/>
      <c r="G24" s="30">
        <f>B3*0.885*12</f>
        <v>46209.744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5.75">
      <c r="A28" s="29" t="s">
        <v>41</v>
      </c>
      <c r="B28" s="29"/>
      <c r="C28" s="29"/>
      <c r="D28" s="29"/>
      <c r="E28" s="29"/>
      <c r="F28" s="29"/>
      <c r="G28" s="30">
        <f>4224+3017.52+269.56+7354.06</f>
        <v>14865.140000000001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0">
        <f>B3*1.81*6+B3*1.86*6</f>
        <v>95813.424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828.96</v>
      </c>
    </row>
    <row r="34" spans="1:7" ht="15.75">
      <c r="A34" s="29" t="s">
        <v>47</v>
      </c>
      <c r="B34" s="29"/>
      <c r="C34" s="29"/>
      <c r="D34" s="29"/>
      <c r="E34" s="29"/>
      <c r="F34" s="29"/>
      <c r="G34" s="30">
        <f>B3*0.65*12</f>
        <v>33939.36</v>
      </c>
    </row>
    <row r="35" spans="1:7" ht="15.75">
      <c r="A35" s="29" t="s">
        <v>48</v>
      </c>
      <c r="B35" s="29"/>
      <c r="C35" s="29"/>
      <c r="D35" s="29"/>
      <c r="E35" s="29"/>
      <c r="F35" s="29"/>
      <c r="G35" s="30">
        <f>B3*0.82*12</f>
        <v>42815.808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B3*0.9*12</f>
        <v>46992.96</v>
      </c>
    </row>
    <row r="37" spans="1:7" ht="15.7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460911.4913746133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5.75" hidden="1">
      <c r="A39" s="29" t="s">
        <v>52</v>
      </c>
      <c r="B39" s="29"/>
      <c r="C39" s="29"/>
      <c r="D39" s="29"/>
      <c r="E39" s="29"/>
      <c r="F39" s="29"/>
      <c r="G39" s="30">
        <f>B3*2.96*12</f>
        <v>154554.624</v>
      </c>
    </row>
    <row r="40" spans="1:7" ht="15.75">
      <c r="A40" s="29" t="s">
        <v>53</v>
      </c>
      <c r="B40" s="29"/>
      <c r="C40" s="29"/>
      <c r="D40" s="29"/>
      <c r="E40" s="29"/>
      <c r="F40" s="29"/>
      <c r="G40" s="30"/>
    </row>
    <row r="41" spans="1:7" ht="16.5">
      <c r="A41" s="37" t="s">
        <v>54</v>
      </c>
      <c r="B41" s="37"/>
      <c r="C41" s="37"/>
      <c r="D41" s="37"/>
      <c r="E41" s="37"/>
      <c r="F41" s="37"/>
      <c r="G41" s="30">
        <v>4882.5</v>
      </c>
    </row>
    <row r="42" spans="1:7" ht="17.25">
      <c r="A42" s="37" t="s">
        <v>55</v>
      </c>
      <c r="B42" s="37"/>
      <c r="C42" s="37"/>
      <c r="D42" s="37"/>
      <c r="E42" s="37"/>
      <c r="F42" s="37"/>
      <c r="G42" s="30"/>
    </row>
    <row r="43" spans="1:7" ht="17.25">
      <c r="A43" s="37" t="s">
        <v>56</v>
      </c>
      <c r="B43" s="37"/>
      <c r="C43" s="37"/>
      <c r="D43" s="37"/>
      <c r="E43" s="37"/>
      <c r="F43" s="37"/>
      <c r="G43" s="30">
        <v>5067.71</v>
      </c>
    </row>
    <row r="44" spans="1:7" ht="17.25" hidden="1">
      <c r="A44" s="37" t="s">
        <v>57</v>
      </c>
      <c r="B44" s="37"/>
      <c r="C44" s="37"/>
      <c r="D44" s="37"/>
      <c r="E44" s="37"/>
      <c r="F44" s="37"/>
      <c r="G44" s="30"/>
    </row>
    <row r="45" spans="1:7" ht="17.25" hidden="1">
      <c r="A45" s="37" t="s">
        <v>58</v>
      </c>
      <c r="B45" s="37"/>
      <c r="C45" s="37"/>
      <c r="D45" s="37"/>
      <c r="E45" s="37"/>
      <c r="F45" s="37"/>
      <c r="G45" s="30"/>
    </row>
    <row r="46" spans="1:7" ht="17.25">
      <c r="A46" s="37" t="s">
        <v>59</v>
      </c>
      <c r="B46" s="37"/>
      <c r="C46" s="37"/>
      <c r="D46" s="37"/>
      <c r="E46" s="37"/>
      <c r="F46" s="37"/>
      <c r="G46" s="30">
        <v>2355.9</v>
      </c>
    </row>
    <row r="47" spans="1:7" ht="17.25">
      <c r="A47" s="37" t="s">
        <v>60</v>
      </c>
      <c r="B47" s="37"/>
      <c r="C47" s="37"/>
      <c r="D47" s="37"/>
      <c r="E47" s="37"/>
      <c r="F47" s="37"/>
      <c r="G47" s="30">
        <f>2633.5+42.07+42.08</f>
        <v>2717.65</v>
      </c>
    </row>
    <row r="48" spans="1:7" ht="17.25">
      <c r="A48" s="37" t="s">
        <v>61</v>
      </c>
      <c r="B48" s="37"/>
      <c r="C48" s="37"/>
      <c r="D48" s="37"/>
      <c r="E48" s="37"/>
      <c r="F48" s="37"/>
      <c r="G48" s="30">
        <f>785.21+1011.41+2730.06+2520.06+2520.06</f>
        <v>9566.8</v>
      </c>
    </row>
    <row r="49" spans="1:7" ht="17.25" hidden="1">
      <c r="A49" s="37" t="s">
        <v>62</v>
      </c>
      <c r="B49" s="37"/>
      <c r="C49" s="37"/>
      <c r="D49" s="37"/>
      <c r="E49" s="37"/>
      <c r="F49" s="37"/>
      <c r="G49" s="30"/>
    </row>
    <row r="50" spans="1:7" ht="17.25" hidden="1">
      <c r="A50" s="37" t="s">
        <v>63</v>
      </c>
      <c r="B50" s="37"/>
      <c r="C50" s="37"/>
      <c r="D50" s="37"/>
      <c r="E50" s="37"/>
      <c r="F50" s="37"/>
      <c r="G50" s="30"/>
    </row>
    <row r="51" spans="1:7" ht="17.25" hidden="1">
      <c r="A51" s="37" t="s">
        <v>64</v>
      </c>
      <c r="B51" s="37"/>
      <c r="C51" s="37"/>
      <c r="D51" s="37"/>
      <c r="E51" s="37"/>
      <c r="F51" s="37"/>
      <c r="G51" s="30"/>
    </row>
    <row r="52" spans="1:7" ht="17.25">
      <c r="A52" s="37" t="s">
        <v>65</v>
      </c>
      <c r="B52" s="37"/>
      <c r="C52" s="37"/>
      <c r="D52" s="37"/>
      <c r="E52" s="37"/>
      <c r="F52" s="37"/>
      <c r="G52" s="30">
        <v>33170.06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57760.619999999995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4">
        <f>G37+G55</f>
        <v>518672.1113746133</v>
      </c>
    </row>
    <row r="57" spans="1:7" ht="15.75">
      <c r="A57" s="29" t="s">
        <v>70</v>
      </c>
      <c r="B57" s="29"/>
      <c r="C57" s="29"/>
      <c r="D57" s="29"/>
      <c r="E57" s="29"/>
      <c r="F57" s="29"/>
      <c r="G57" s="30">
        <v>0</v>
      </c>
    </row>
    <row r="58" spans="1:7" ht="15.75" customHeight="1">
      <c r="A58" s="40" t="s">
        <v>71</v>
      </c>
      <c r="B58" s="40"/>
      <c r="C58" s="40"/>
      <c r="D58" s="40"/>
      <c r="E58" s="40"/>
      <c r="F58" s="40"/>
      <c r="G58" s="34">
        <f>B3*B4*4+B3*B5*2+B3*B6*5+B3*B7*1+G59</f>
        <v>621862.776</v>
      </c>
    </row>
    <row r="59" spans="1:7" ht="17.25">
      <c r="A59" s="41" t="s">
        <v>113</v>
      </c>
      <c r="B59" s="41"/>
      <c r="C59" s="41"/>
      <c r="D59" s="41"/>
      <c r="E59" s="41"/>
      <c r="F59" s="41"/>
      <c r="G59" s="34">
        <f>160*1*12+180*1*12+141.6*1*12+215.6*1*12+141.6*2*12+269*2*12</f>
        <v>18220.8</v>
      </c>
    </row>
    <row r="60" spans="1:7" ht="15.75" customHeight="1">
      <c r="A60" s="42" t="s">
        <v>73</v>
      </c>
      <c r="B60" s="42"/>
      <c r="C60" s="42"/>
      <c r="D60" s="42"/>
      <c r="E60" s="42"/>
      <c r="F60" s="42"/>
      <c r="G60" s="47">
        <v>26912.92</v>
      </c>
    </row>
    <row r="61" spans="1:7" ht="57" customHeight="1">
      <c r="A61" s="44" t="s">
        <v>90</v>
      </c>
      <c r="B61" s="44"/>
      <c r="C61" s="44"/>
      <c r="D61" s="44"/>
      <c r="E61" s="44"/>
      <c r="F61" s="44"/>
      <c r="G61" s="54">
        <f>G56-G58+G60-G57</f>
        <v>-76277.74462538665</v>
      </c>
    </row>
    <row r="66" ht="15.75">
      <c r="A66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5513888888888889" right="0" top="0.27569444444444446" bottom="0" header="0.5118055555555555" footer="0.5118055555555555"/>
  <pageSetup horizontalDpi="300" verticalDpi="300" orientation="portrait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G66"/>
  <sheetViews>
    <sheetView zoomScale="75" zoomScaleNormal="75" workbookViewId="0" topLeftCell="A1">
      <selection activeCell="G23" sqref="G23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0039062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5.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76</v>
      </c>
      <c r="B2" s="7" t="s">
        <v>118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78</v>
      </c>
      <c r="B3" s="10">
        <v>2695.5</v>
      </c>
      <c r="F3" s="8" t="s">
        <v>5</v>
      </c>
      <c r="G3" s="11">
        <v>4</v>
      </c>
    </row>
    <row r="4" spans="1:7" ht="18.75">
      <c r="A4" s="12" t="s">
        <v>79</v>
      </c>
      <c r="B4" s="46">
        <v>11.39</v>
      </c>
      <c r="C4" s="1" t="s">
        <v>93</v>
      </c>
      <c r="F4" s="8" t="s">
        <v>8</v>
      </c>
      <c r="G4" s="9">
        <v>1972</v>
      </c>
    </row>
    <row r="5" spans="1:7" ht="18.75">
      <c r="A5" s="12" t="s">
        <v>79</v>
      </c>
      <c r="B5" s="46">
        <v>11.54</v>
      </c>
      <c r="C5" s="1" t="s">
        <v>94</v>
      </c>
      <c r="F5" s="8"/>
      <c r="G5" s="9"/>
    </row>
    <row r="6" spans="1:7" ht="18.75">
      <c r="A6" s="12" t="s">
        <v>79</v>
      </c>
      <c r="B6" s="46">
        <v>11.59</v>
      </c>
      <c r="C6" s="1" t="s">
        <v>10</v>
      </c>
      <c r="F6" s="8"/>
      <c r="G6" s="9"/>
    </row>
    <row r="7" spans="1:3" ht="18.75">
      <c r="A7" s="12" t="s">
        <v>79</v>
      </c>
      <c r="B7" s="46">
        <v>12.14</v>
      </c>
      <c r="C7" s="1" t="s">
        <v>95</v>
      </c>
    </row>
    <row r="8" spans="1:7" ht="19.5" customHeight="1" hidden="1">
      <c r="A8" s="15" t="s">
        <v>12</v>
      </c>
      <c r="B8" s="16">
        <v>318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580</v>
      </c>
      <c r="C11" s="18">
        <v>3210</v>
      </c>
      <c r="D11" s="18">
        <v>580</v>
      </c>
      <c r="E11" s="18">
        <v>3210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543.3</v>
      </c>
      <c r="C13" s="21">
        <v>539</v>
      </c>
      <c r="D13" s="21">
        <f>B13+C13</f>
        <v>1082.3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60</v>
      </c>
      <c r="C15" s="25"/>
      <c r="D15" s="25">
        <v>60</v>
      </c>
      <c r="E15" s="26">
        <f>D15+C15+B15</f>
        <v>120</v>
      </c>
      <c r="F15" s="18"/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55" t="s">
        <v>30</v>
      </c>
      <c r="B17" s="55"/>
      <c r="C17" s="55"/>
      <c r="D17" s="55"/>
      <c r="E17" s="55"/>
      <c r="F17" s="55"/>
      <c r="G17" s="30">
        <f>B8*8.689*12</f>
        <v>33157.224</v>
      </c>
    </row>
    <row r="18" spans="1:7" ht="15.75" hidden="1">
      <c r="A18" s="55" t="s">
        <v>31</v>
      </c>
      <c r="B18" s="55"/>
      <c r="C18" s="55"/>
      <c r="D18" s="55"/>
      <c r="E18" s="55"/>
      <c r="F18" s="55"/>
      <c r="G18" s="30">
        <f>B9*19.03*12</f>
        <v>0</v>
      </c>
    </row>
    <row r="19" spans="1:7" ht="15.75" customHeight="1" hidden="1">
      <c r="A19" s="55" t="s">
        <v>85</v>
      </c>
      <c r="B19" s="55"/>
      <c r="C19" s="55"/>
      <c r="D19" s="55"/>
      <c r="E19" s="55"/>
      <c r="F19" s="55"/>
      <c r="G19" s="30">
        <f>B12*0.4523*12</f>
        <v>0</v>
      </c>
    </row>
    <row r="20" spans="1:7" ht="15.75">
      <c r="A20" s="55" t="s">
        <v>33</v>
      </c>
      <c r="B20" s="55"/>
      <c r="C20" s="55"/>
      <c r="D20" s="55"/>
      <c r="E20" s="55"/>
      <c r="F20" s="55"/>
      <c r="G20" s="30">
        <f>(B11*12.84/100*189)+(C11*9.63/100*113)+(D11*32.11/100*71)+(E11*2.41/100*12)</f>
        <v>63157.33700000001</v>
      </c>
    </row>
    <row r="21" spans="1:7" ht="17.25" customHeight="1">
      <c r="A21" s="56" t="s">
        <v>34</v>
      </c>
      <c r="B21" s="56"/>
      <c r="C21" s="56"/>
      <c r="D21" s="56"/>
      <c r="E21" s="56"/>
      <c r="F21" s="56"/>
      <c r="G21" s="32">
        <f>(1014567.18*1.18+308700+213742.08)/244019.8*B3</f>
        <v>18995.451641195512</v>
      </c>
    </row>
    <row r="22" spans="1:7" ht="15.75">
      <c r="A22" s="55" t="s">
        <v>35</v>
      </c>
      <c r="B22" s="55"/>
      <c r="C22" s="55"/>
      <c r="D22" s="55"/>
      <c r="E22" s="55"/>
      <c r="F22" s="55"/>
      <c r="G22" s="30">
        <f>D13*0.135*6+842.11</f>
        <v>1718.7730000000001</v>
      </c>
    </row>
    <row r="23" spans="1:7" ht="16.5">
      <c r="A23" s="55" t="s">
        <v>36</v>
      </c>
      <c r="B23" s="55"/>
      <c r="C23" s="55"/>
      <c r="D23" s="55"/>
      <c r="E23" s="55"/>
      <c r="F23" s="55"/>
      <c r="G23" s="30">
        <f>114.94+3663.9+732.78+316.1+3965.51</f>
        <v>8793.23</v>
      </c>
    </row>
    <row r="24" spans="1:7" ht="15.75">
      <c r="A24" s="55" t="s">
        <v>37</v>
      </c>
      <c r="B24" s="55"/>
      <c r="C24" s="55"/>
      <c r="D24" s="55"/>
      <c r="E24" s="55"/>
      <c r="F24" s="55"/>
      <c r="G24" s="30">
        <f>B3*0.885*12</f>
        <v>28626.21</v>
      </c>
    </row>
    <row r="25" spans="1:7" ht="15.75" hidden="1">
      <c r="A25" s="55" t="s">
        <v>38</v>
      </c>
      <c r="B25" s="55"/>
      <c r="C25" s="55"/>
      <c r="D25" s="55"/>
      <c r="E25" s="55"/>
      <c r="F25" s="55"/>
      <c r="G25" s="30">
        <v>0</v>
      </c>
    </row>
    <row r="26" spans="1:7" ht="15.75" hidden="1">
      <c r="A26" s="55" t="s">
        <v>39</v>
      </c>
      <c r="B26" s="55"/>
      <c r="C26" s="55"/>
      <c r="D26" s="55"/>
      <c r="E26" s="55"/>
      <c r="F26" s="55"/>
      <c r="G26" s="30">
        <v>0</v>
      </c>
    </row>
    <row r="27" spans="1:7" ht="15.75" hidden="1">
      <c r="A27" s="55" t="s">
        <v>40</v>
      </c>
      <c r="B27" s="55"/>
      <c r="C27" s="55"/>
      <c r="D27" s="55"/>
      <c r="E27" s="55"/>
      <c r="F27" s="55"/>
      <c r="G27" s="30">
        <v>0</v>
      </c>
    </row>
    <row r="28" spans="1:7" ht="15.75">
      <c r="A28" s="55" t="s">
        <v>41</v>
      </c>
      <c r="B28" s="55"/>
      <c r="C28" s="55"/>
      <c r="D28" s="55"/>
      <c r="E28" s="55"/>
      <c r="F28" s="55"/>
      <c r="G28" s="30">
        <f>4224+3017.52+539.12</f>
        <v>7780.64</v>
      </c>
    </row>
    <row r="29" spans="1:7" ht="15.75" hidden="1">
      <c r="A29" s="55" t="s">
        <v>42</v>
      </c>
      <c r="B29" s="55"/>
      <c r="C29" s="55"/>
      <c r="D29" s="55"/>
      <c r="E29" s="55"/>
      <c r="F29" s="55"/>
      <c r="G29" s="30">
        <v>0</v>
      </c>
    </row>
    <row r="30" spans="1:7" ht="15.75" hidden="1">
      <c r="A30" s="55" t="s">
        <v>43</v>
      </c>
      <c r="B30" s="55"/>
      <c r="C30" s="55"/>
      <c r="D30" s="55"/>
      <c r="E30" s="55"/>
      <c r="F30" s="55"/>
      <c r="G30" s="30">
        <v>0</v>
      </c>
    </row>
    <row r="31" spans="1:7" ht="15.75" customHeight="1" hidden="1">
      <c r="A31" s="55" t="s">
        <v>44</v>
      </c>
      <c r="B31" s="55"/>
      <c r="C31" s="55"/>
      <c r="D31" s="55"/>
      <c r="E31" s="55"/>
      <c r="F31" s="55"/>
      <c r="G31" s="30">
        <v>0</v>
      </c>
    </row>
    <row r="32" spans="1:7" ht="15.75">
      <c r="A32" s="55" t="s">
        <v>45</v>
      </c>
      <c r="B32" s="55"/>
      <c r="C32" s="55"/>
      <c r="D32" s="55"/>
      <c r="E32" s="55"/>
      <c r="F32" s="55"/>
      <c r="G32" s="30">
        <f>B3*1.81*6+B3*1.86*6</f>
        <v>59354.91</v>
      </c>
    </row>
    <row r="33" spans="1:7" ht="17.25" customHeight="1">
      <c r="A33" s="56" t="s">
        <v>46</v>
      </c>
      <c r="B33" s="56"/>
      <c r="C33" s="56"/>
      <c r="D33" s="56"/>
      <c r="E33" s="56"/>
      <c r="F33" s="56"/>
      <c r="G33" s="30">
        <f>(F15*4*8.57)+(B15*2*3.14)+(C15*1*3.14)+(D15*1*3.14)</f>
        <v>565.2</v>
      </c>
    </row>
    <row r="34" spans="1:7" ht="15.75">
      <c r="A34" s="55" t="s">
        <v>47</v>
      </c>
      <c r="B34" s="55"/>
      <c r="C34" s="55"/>
      <c r="D34" s="55"/>
      <c r="E34" s="55"/>
      <c r="F34" s="55"/>
      <c r="G34" s="30">
        <f>B3*0.65*12</f>
        <v>21024.9</v>
      </c>
    </row>
    <row r="35" spans="1:7" ht="15.75">
      <c r="A35" s="55" t="s">
        <v>48</v>
      </c>
      <c r="B35" s="55"/>
      <c r="C35" s="55"/>
      <c r="D35" s="55"/>
      <c r="E35" s="55"/>
      <c r="F35" s="55"/>
      <c r="G35" s="30">
        <f>B3*0.82*12</f>
        <v>26523.72</v>
      </c>
    </row>
    <row r="36" spans="1:7" ht="15.75" customHeight="1">
      <c r="A36" s="55" t="s">
        <v>49</v>
      </c>
      <c r="B36" s="55"/>
      <c r="C36" s="55"/>
      <c r="D36" s="55"/>
      <c r="E36" s="55"/>
      <c r="F36" s="55"/>
      <c r="G36" s="30">
        <f>B3*0.95*12</f>
        <v>30728.700000000004</v>
      </c>
    </row>
    <row r="37" spans="1:7" ht="15.75">
      <c r="A37" s="57" t="s">
        <v>50</v>
      </c>
      <c r="B37" s="57"/>
      <c r="C37" s="57"/>
      <c r="D37" s="57"/>
      <c r="E37" s="57"/>
      <c r="F37" s="57"/>
      <c r="G37" s="34">
        <f>G17+G18+G19+G20+G21+G22+G23+G24+G25+G26+G28+G32+G33+G34+G35+G36+G29+G30+G31+G27</f>
        <v>300426.29564119555</v>
      </c>
    </row>
    <row r="38" spans="1:7" ht="17.25" customHeight="1">
      <c r="A38" s="58" t="s">
        <v>51</v>
      </c>
      <c r="B38" s="58"/>
      <c r="C38" s="58"/>
      <c r="D38" s="58"/>
      <c r="E38" s="58"/>
      <c r="F38" s="58"/>
      <c r="G38" s="30"/>
    </row>
    <row r="39" spans="1:7" ht="15.75" hidden="1">
      <c r="A39" s="55" t="s">
        <v>52</v>
      </c>
      <c r="B39" s="55"/>
      <c r="C39" s="55"/>
      <c r="D39" s="55"/>
      <c r="E39" s="55"/>
      <c r="F39" s="55"/>
      <c r="G39" s="30"/>
    </row>
    <row r="40" spans="1:7" ht="15.75">
      <c r="A40" s="55" t="s">
        <v>53</v>
      </c>
      <c r="B40" s="55"/>
      <c r="C40" s="55"/>
      <c r="D40" s="55"/>
      <c r="E40" s="55"/>
      <c r="F40" s="55"/>
      <c r="G40" s="30"/>
    </row>
    <row r="41" spans="1:7" ht="17.25">
      <c r="A41" s="59" t="s">
        <v>54</v>
      </c>
      <c r="B41" s="59"/>
      <c r="C41" s="59"/>
      <c r="D41" s="59"/>
      <c r="E41" s="59"/>
      <c r="F41" s="59"/>
      <c r="G41" s="30"/>
    </row>
    <row r="42" spans="1:7" ht="17.25">
      <c r="A42" s="59" t="s">
        <v>55</v>
      </c>
      <c r="B42" s="59"/>
      <c r="C42" s="59"/>
      <c r="D42" s="59"/>
      <c r="E42" s="59"/>
      <c r="F42" s="59"/>
      <c r="G42" s="30">
        <f>709.32+1112.65</f>
        <v>1821.9700000000003</v>
      </c>
    </row>
    <row r="43" spans="1:7" ht="17.25">
      <c r="A43" s="59" t="s">
        <v>56</v>
      </c>
      <c r="B43" s="59"/>
      <c r="C43" s="59"/>
      <c r="D43" s="59"/>
      <c r="E43" s="59"/>
      <c r="F43" s="59"/>
      <c r="G43" s="30">
        <f>635.95+376.51</f>
        <v>1012.46</v>
      </c>
    </row>
    <row r="44" spans="1:7" ht="17.25" hidden="1">
      <c r="A44" s="59" t="s">
        <v>57</v>
      </c>
      <c r="B44" s="59"/>
      <c r="C44" s="59"/>
      <c r="D44" s="59"/>
      <c r="E44" s="59"/>
      <c r="F44" s="59"/>
      <c r="G44" s="30"/>
    </row>
    <row r="45" spans="1:7" ht="17.25" hidden="1">
      <c r="A45" s="59" t="s">
        <v>58</v>
      </c>
      <c r="B45" s="59"/>
      <c r="C45" s="59"/>
      <c r="D45" s="59"/>
      <c r="E45" s="59"/>
      <c r="F45" s="59"/>
      <c r="G45" s="30"/>
    </row>
    <row r="46" spans="1:7" ht="17.25">
      <c r="A46" s="59" t="s">
        <v>59</v>
      </c>
      <c r="B46" s="59"/>
      <c r="C46" s="59"/>
      <c r="D46" s="59"/>
      <c r="E46" s="59"/>
      <c r="F46" s="59"/>
      <c r="G46" s="30"/>
    </row>
    <row r="47" spans="1:7" ht="17.25">
      <c r="A47" s="59" t="s">
        <v>60</v>
      </c>
      <c r="B47" s="59"/>
      <c r="C47" s="59"/>
      <c r="D47" s="59"/>
      <c r="E47" s="59"/>
      <c r="F47" s="59"/>
      <c r="G47" s="30">
        <f>737.78+42.08+71.63+1445.55</f>
        <v>2297.04</v>
      </c>
    </row>
    <row r="48" spans="1:7" ht="17.25">
      <c r="A48" s="59" t="s">
        <v>61</v>
      </c>
      <c r="B48" s="59"/>
      <c r="C48" s="59"/>
      <c r="D48" s="59"/>
      <c r="E48" s="59"/>
      <c r="F48" s="59"/>
      <c r="G48" s="30">
        <f>1063.6+2520.06+10920.24+10290.23</f>
        <v>24794.129999999997</v>
      </c>
    </row>
    <row r="49" spans="1:7" ht="16.5" hidden="1">
      <c r="A49" s="59" t="s">
        <v>62</v>
      </c>
      <c r="B49" s="59"/>
      <c r="C49" s="59"/>
      <c r="D49" s="59"/>
      <c r="E49" s="59"/>
      <c r="F49" s="59"/>
      <c r="G49" s="30"/>
    </row>
    <row r="50" spans="1:7" ht="17.25" hidden="1">
      <c r="A50" s="59" t="s">
        <v>63</v>
      </c>
      <c r="B50" s="59"/>
      <c r="C50" s="59"/>
      <c r="D50" s="59"/>
      <c r="E50" s="59"/>
      <c r="F50" s="59"/>
      <c r="G50" s="30"/>
    </row>
    <row r="51" spans="1:7" ht="17.25" hidden="1">
      <c r="A51" s="59" t="s">
        <v>64</v>
      </c>
      <c r="B51" s="59"/>
      <c r="C51" s="59"/>
      <c r="D51" s="59"/>
      <c r="E51" s="59"/>
      <c r="F51" s="59"/>
      <c r="G51" s="30"/>
    </row>
    <row r="52" spans="1:7" ht="17.25">
      <c r="A52" s="59" t="s">
        <v>65</v>
      </c>
      <c r="B52" s="59"/>
      <c r="C52" s="59"/>
      <c r="D52" s="59"/>
      <c r="E52" s="59"/>
      <c r="F52" s="59"/>
      <c r="G52" s="30">
        <v>24123.68</v>
      </c>
    </row>
    <row r="53" spans="1:7" ht="15.75" customHeight="1" hidden="1">
      <c r="A53" s="59" t="s">
        <v>66</v>
      </c>
      <c r="B53" s="59"/>
      <c r="C53" s="59"/>
      <c r="D53" s="59"/>
      <c r="E53" s="59"/>
      <c r="F53" s="59"/>
      <c r="G53" s="30"/>
    </row>
    <row r="54" spans="1:7" ht="15.75" customHeight="1" hidden="1">
      <c r="A54" s="59" t="s">
        <v>67</v>
      </c>
      <c r="B54" s="59"/>
      <c r="C54" s="59"/>
      <c r="D54" s="59"/>
      <c r="E54" s="59"/>
      <c r="F54" s="59"/>
      <c r="G54" s="30"/>
    </row>
    <row r="55" spans="1:7" ht="18.75" customHeight="1">
      <c r="A55" s="60" t="s">
        <v>68</v>
      </c>
      <c r="B55" s="60"/>
      <c r="C55" s="60"/>
      <c r="D55" s="60"/>
      <c r="E55" s="60"/>
      <c r="F55" s="60"/>
      <c r="G55" s="34">
        <f>G41+G42+G43+G44+G45+G46+G47+G48+G49+G50+G51+G52+G53+G54</f>
        <v>54049.28</v>
      </c>
    </row>
    <row r="56" spans="1:7" ht="17.25" customHeight="1">
      <c r="A56" s="60" t="s">
        <v>69</v>
      </c>
      <c r="B56" s="60"/>
      <c r="C56" s="60"/>
      <c r="D56" s="60"/>
      <c r="E56" s="60"/>
      <c r="F56" s="60"/>
      <c r="G56" s="34">
        <f>G37+G55</f>
        <v>354475.5756411955</v>
      </c>
    </row>
    <row r="57" spans="1:7" ht="15.75">
      <c r="A57" s="55" t="s">
        <v>70</v>
      </c>
      <c r="B57" s="55"/>
      <c r="C57" s="55"/>
      <c r="D57" s="55"/>
      <c r="E57" s="55"/>
      <c r="F57" s="55"/>
      <c r="G57" s="30">
        <f>-582.57-481.58-1631.14</f>
        <v>-2695.29</v>
      </c>
    </row>
    <row r="58" spans="1:7" ht="15.75" customHeight="1">
      <c r="A58" s="40" t="s">
        <v>71</v>
      </c>
      <c r="B58" s="40"/>
      <c r="C58" s="40"/>
      <c r="D58" s="40"/>
      <c r="E58" s="40"/>
      <c r="F58" s="40"/>
      <c r="G58" s="34">
        <f>B3*B4*4+B3*B5*2+B3*B6*5+B3*B7*1+G59</f>
        <v>383381.115</v>
      </c>
    </row>
    <row r="59" spans="1:7" ht="16.5">
      <c r="A59" s="41" t="s">
        <v>113</v>
      </c>
      <c r="B59" s="41"/>
      <c r="C59" s="41"/>
      <c r="D59" s="41"/>
      <c r="E59" s="41"/>
      <c r="F59" s="41"/>
      <c r="G59" s="30">
        <f>160*1*12+141.6*1*12+215.6*1*12+269*1*12</f>
        <v>9434.4</v>
      </c>
    </row>
    <row r="60" spans="1:7" ht="19.5" customHeight="1">
      <c r="A60" s="61" t="s">
        <v>73</v>
      </c>
      <c r="B60" s="61"/>
      <c r="C60" s="61"/>
      <c r="D60" s="61"/>
      <c r="E60" s="61"/>
      <c r="F60" s="61"/>
      <c r="G60" s="47">
        <v>27184.5</v>
      </c>
    </row>
    <row r="61" spans="1:7" ht="55.5" customHeight="1">
      <c r="A61" s="44" t="s">
        <v>114</v>
      </c>
      <c r="B61" s="44"/>
      <c r="C61" s="44"/>
      <c r="D61" s="44"/>
      <c r="E61" s="44"/>
      <c r="F61" s="44"/>
      <c r="G61" s="62">
        <f>G56-G58-G57+G60</f>
        <v>974.2506411955328</v>
      </c>
    </row>
    <row r="65" ht="15.75">
      <c r="A65"/>
    </row>
    <row r="66" ht="15.75">
      <c r="A66" s="53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4513888888888889" right="0" top="0.3784722222222222" bottom="0" header="0.5118055555555555" footer="0.5118055555555555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G65"/>
  <sheetViews>
    <sheetView zoomScale="75" zoomScaleNormal="75" workbookViewId="0" topLeftCell="A1">
      <selection activeCell="G23" sqref="G23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0.2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119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2625.8</v>
      </c>
      <c r="F3" s="8" t="s">
        <v>5</v>
      </c>
      <c r="G3" s="11">
        <v>4</v>
      </c>
    </row>
    <row r="4" spans="1:7" ht="18.75">
      <c r="A4" s="12" t="s">
        <v>6</v>
      </c>
      <c r="B4" s="46">
        <v>11.39</v>
      </c>
      <c r="C4" s="1" t="s">
        <v>93</v>
      </c>
      <c r="F4" s="8" t="s">
        <v>8</v>
      </c>
      <c r="G4" s="9">
        <v>1972</v>
      </c>
    </row>
    <row r="5" spans="1:7" ht="18.75">
      <c r="A5" s="12" t="s">
        <v>6</v>
      </c>
      <c r="B5" s="46">
        <v>11.54</v>
      </c>
      <c r="C5" s="1" t="s">
        <v>94</v>
      </c>
      <c r="F5" s="8"/>
      <c r="G5" s="9"/>
    </row>
    <row r="6" spans="1:7" ht="18.75">
      <c r="A6" s="12" t="s">
        <v>6</v>
      </c>
      <c r="B6" s="46">
        <v>11.59</v>
      </c>
      <c r="C6" s="1" t="s">
        <v>10</v>
      </c>
      <c r="F6" s="8"/>
      <c r="G6" s="9"/>
    </row>
    <row r="7" spans="1:3" ht="18.75">
      <c r="A7" s="12" t="s">
        <v>6</v>
      </c>
      <c r="B7" s="46">
        <v>12.14</v>
      </c>
      <c r="C7" s="1" t="s">
        <v>95</v>
      </c>
    </row>
    <row r="8" spans="1:7" ht="18.75" hidden="1">
      <c r="A8" s="15" t="s">
        <v>12</v>
      </c>
      <c r="B8" s="16">
        <v>276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400</v>
      </c>
      <c r="C11" s="18">
        <v>2740</v>
      </c>
      <c r="D11" s="18">
        <v>400</v>
      </c>
      <c r="E11" s="18">
        <v>2740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545.3</v>
      </c>
      <c r="C13" s="21">
        <v>525</v>
      </c>
      <c r="D13" s="21">
        <f>B13+C13</f>
        <v>1070.3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59</v>
      </c>
      <c r="C15" s="25"/>
      <c r="D15" s="25">
        <v>59</v>
      </c>
      <c r="E15" s="26">
        <f>D15+C15+B15</f>
        <v>118</v>
      </c>
      <c r="F15" s="18"/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0">
        <f>B8*8.689*12</f>
        <v>28777.968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0">
        <f>B9*35.705*12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0">
        <f>B12*0.3613*12</f>
        <v>0</v>
      </c>
    </row>
    <row r="20" spans="1:7" ht="15.75" customHeight="1">
      <c r="A20" s="29" t="s">
        <v>33</v>
      </c>
      <c r="B20" s="29"/>
      <c r="C20" s="29"/>
      <c r="D20" s="29"/>
      <c r="E20" s="29"/>
      <c r="F20" s="29"/>
      <c r="G20" s="30">
        <f>(B11*12.84/100*189)+(C11*9.63/100*113)+(D11*32.11/100*71)+(E11*2.41/100*12)</f>
        <v>49435.094000000005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18504.26893691381</v>
      </c>
    </row>
    <row r="22" spans="1:7" ht="15.75">
      <c r="A22" s="29" t="s">
        <v>35</v>
      </c>
      <c r="B22" s="29"/>
      <c r="C22" s="29"/>
      <c r="D22" s="29"/>
      <c r="E22" s="29"/>
      <c r="F22" s="29"/>
      <c r="G22" s="30">
        <f>D13*0.135*6+991.5</f>
        <v>1858.443</v>
      </c>
    </row>
    <row r="23" spans="1:7" ht="16.5">
      <c r="A23" s="29" t="s">
        <v>36</v>
      </c>
      <c r="B23" s="29"/>
      <c r="C23" s="29"/>
      <c r="D23" s="29"/>
      <c r="E23" s="29"/>
      <c r="F23" s="29"/>
      <c r="G23" s="30">
        <f>114.94+3602.84+732.78+316.1+3965.51</f>
        <v>8732.170000000002</v>
      </c>
    </row>
    <row r="24" spans="1:7" ht="17.25">
      <c r="A24" s="29" t="s">
        <v>37</v>
      </c>
      <c r="B24" s="29"/>
      <c r="C24" s="29"/>
      <c r="D24" s="29"/>
      <c r="E24" s="29"/>
      <c r="F24" s="29"/>
      <c r="G24" s="30">
        <f>B3*0.885*12</f>
        <v>27885.996</v>
      </c>
    </row>
    <row r="25" spans="1:7" ht="15" customHeight="1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5.75">
      <c r="A28" s="29" t="s">
        <v>41</v>
      </c>
      <c r="B28" s="29"/>
      <c r="C28" s="29"/>
      <c r="D28" s="29"/>
      <c r="E28" s="29"/>
      <c r="F28" s="29"/>
      <c r="G28" s="30">
        <v>7511.08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 customHeight="1">
      <c r="A32" s="29" t="s">
        <v>45</v>
      </c>
      <c r="B32" s="29"/>
      <c r="C32" s="29"/>
      <c r="D32" s="29"/>
      <c r="E32" s="29"/>
      <c r="F32" s="29"/>
      <c r="G32" s="30">
        <f>B3*1.81*6+B3*1.86*6</f>
        <v>57820.116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555.7800000000001</v>
      </c>
    </row>
    <row r="34" spans="1:7" ht="15.75">
      <c r="A34" s="29" t="s">
        <v>47</v>
      </c>
      <c r="B34" s="29"/>
      <c r="C34" s="29"/>
      <c r="D34" s="29"/>
      <c r="E34" s="29"/>
      <c r="F34" s="29"/>
      <c r="G34" s="30">
        <f>B3*0.65*12</f>
        <v>20481.24</v>
      </c>
    </row>
    <row r="35" spans="1:7" ht="15.75">
      <c r="A35" s="29" t="s">
        <v>48</v>
      </c>
      <c r="B35" s="29"/>
      <c r="C35" s="29"/>
      <c r="D35" s="29"/>
      <c r="E35" s="29"/>
      <c r="F35" s="29"/>
      <c r="G35" s="30">
        <f>B3*0.82*12</f>
        <v>25837.872000000003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B3*0.95*12</f>
        <v>29934.120000000003</v>
      </c>
    </row>
    <row r="37" spans="1:7" ht="15.75" customHeight="1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277334.1479369138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5.75" hidden="1">
      <c r="A39" s="29" t="s">
        <v>52</v>
      </c>
      <c r="B39" s="29"/>
      <c r="C39" s="29"/>
      <c r="D39" s="29"/>
      <c r="E39" s="29"/>
      <c r="F39" s="29"/>
      <c r="G39" s="30">
        <f>B3*2.96*12</f>
        <v>93268.416</v>
      </c>
    </row>
    <row r="40" spans="1:7" ht="15.75">
      <c r="A40" s="29" t="s">
        <v>53</v>
      </c>
      <c r="B40" s="29"/>
      <c r="C40" s="29"/>
      <c r="D40" s="29"/>
      <c r="E40" s="29"/>
      <c r="F40" s="29"/>
      <c r="G40" s="30"/>
    </row>
    <row r="41" spans="1:7" ht="17.25">
      <c r="A41" s="37" t="s">
        <v>54</v>
      </c>
      <c r="B41" s="37"/>
      <c r="C41" s="37"/>
      <c r="D41" s="37"/>
      <c r="E41" s="37"/>
      <c r="F41" s="37"/>
      <c r="G41" s="30"/>
    </row>
    <row r="42" spans="1:7" ht="15.75">
      <c r="A42" s="37" t="s">
        <v>55</v>
      </c>
      <c r="B42" s="37"/>
      <c r="C42" s="37"/>
      <c r="D42" s="37"/>
      <c r="E42" s="37"/>
      <c r="F42" s="37"/>
      <c r="G42" s="30">
        <v>481.75</v>
      </c>
    </row>
    <row r="43" spans="1:7" ht="15.75">
      <c r="A43" s="37" t="s">
        <v>56</v>
      </c>
      <c r="B43" s="37"/>
      <c r="C43" s="37"/>
      <c r="D43" s="37"/>
      <c r="E43" s="37"/>
      <c r="F43" s="37"/>
      <c r="G43" s="30"/>
    </row>
    <row r="44" spans="1:7" ht="17.25" hidden="1">
      <c r="A44" s="37" t="s">
        <v>57</v>
      </c>
      <c r="B44" s="37"/>
      <c r="C44" s="37"/>
      <c r="D44" s="37"/>
      <c r="E44" s="37"/>
      <c r="F44" s="37"/>
      <c r="G44" s="30"/>
    </row>
    <row r="45" spans="1:7" ht="15.75" hidden="1">
      <c r="A45" s="37" t="s">
        <v>58</v>
      </c>
      <c r="B45" s="37"/>
      <c r="C45" s="37"/>
      <c r="D45" s="37"/>
      <c r="E45" s="37"/>
      <c r="F45" s="37"/>
      <c r="G45" s="30"/>
    </row>
    <row r="46" spans="1:7" ht="17.25">
      <c r="A46" s="37" t="s">
        <v>59</v>
      </c>
      <c r="B46" s="37"/>
      <c r="C46" s="37"/>
      <c r="D46" s="37"/>
      <c r="E46" s="37"/>
      <c r="F46" s="37"/>
      <c r="G46" s="30">
        <f>13269.3+4794.02</f>
        <v>18063.32</v>
      </c>
    </row>
    <row r="47" spans="1:7" ht="17.25">
      <c r="A47" s="37" t="s">
        <v>60</v>
      </c>
      <c r="B47" s="37"/>
      <c r="C47" s="37"/>
      <c r="D47" s="37"/>
      <c r="E47" s="37"/>
      <c r="F47" s="37"/>
      <c r="G47" s="30">
        <f>795.47+42.08+864.28+42.08+42.07+2632.73+42.08</f>
        <v>4460.79</v>
      </c>
    </row>
    <row r="48" spans="1:7" ht="15.75">
      <c r="A48" s="37" t="s">
        <v>61</v>
      </c>
      <c r="B48" s="37"/>
      <c r="C48" s="37"/>
      <c r="D48" s="37"/>
      <c r="E48" s="37"/>
      <c r="F48" s="37"/>
      <c r="G48" s="30">
        <f>1009.6+966.05+2520.06</f>
        <v>4495.71</v>
      </c>
    </row>
    <row r="49" spans="1:7" ht="15.75" hidden="1">
      <c r="A49" s="37" t="s">
        <v>62</v>
      </c>
      <c r="B49" s="37"/>
      <c r="C49" s="37"/>
      <c r="D49" s="37"/>
      <c r="E49" s="37"/>
      <c r="F49" s="37"/>
      <c r="G49" s="30"/>
    </row>
    <row r="50" spans="1:7" ht="15.75" hidden="1">
      <c r="A50" s="37" t="s">
        <v>63</v>
      </c>
      <c r="B50" s="37"/>
      <c r="C50" s="37"/>
      <c r="D50" s="37"/>
      <c r="E50" s="37"/>
      <c r="F50" s="37"/>
      <c r="G50" s="30"/>
    </row>
    <row r="51" spans="1:7" ht="17.25" hidden="1">
      <c r="A51" s="37" t="s">
        <v>64</v>
      </c>
      <c r="B51" s="37"/>
      <c r="C51" s="37"/>
      <c r="D51" s="37"/>
      <c r="E51" s="37"/>
      <c r="F51" s="37"/>
      <c r="G51" s="30"/>
    </row>
    <row r="52" spans="1:7" ht="17.25">
      <c r="A52" s="37" t="s">
        <v>65</v>
      </c>
      <c r="B52" s="37"/>
      <c r="C52" s="37"/>
      <c r="D52" s="37"/>
      <c r="E52" s="37"/>
      <c r="F52" s="37"/>
      <c r="G52" s="30">
        <v>21108.22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48609.79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4">
        <f>G37+G55</f>
        <v>325943.9379369138</v>
      </c>
    </row>
    <row r="57" spans="1:7" ht="15.75">
      <c r="A57" s="29" t="s">
        <v>70</v>
      </c>
      <c r="B57" s="29"/>
      <c r="C57" s="29"/>
      <c r="D57" s="29"/>
      <c r="E57" s="29"/>
      <c r="F57" s="29"/>
      <c r="G57" s="30">
        <v>0</v>
      </c>
    </row>
    <row r="58" spans="1:7" ht="15.75" customHeight="1">
      <c r="A58" s="40" t="s">
        <v>71</v>
      </c>
      <c r="B58" s="40"/>
      <c r="C58" s="40"/>
      <c r="D58" s="40"/>
      <c r="E58" s="40"/>
      <c r="F58" s="40"/>
      <c r="G58" s="34">
        <f>B3*B4*4+B3*B5*2+B3*5*B6+B3*B7*1+G59</f>
        <v>373284.434</v>
      </c>
    </row>
    <row r="59" spans="1:7" ht="15.75" customHeight="1">
      <c r="A59" s="41" t="s">
        <v>113</v>
      </c>
      <c r="B59" s="41"/>
      <c r="C59" s="41"/>
      <c r="D59" s="41"/>
      <c r="E59" s="41"/>
      <c r="F59" s="41"/>
      <c r="G59" s="34">
        <f>160*1*12+180*1*12+141.6*1*12+269*1*12</f>
        <v>9007.2</v>
      </c>
    </row>
    <row r="60" spans="1:7" ht="16.5" customHeight="1">
      <c r="A60" s="42" t="s">
        <v>73</v>
      </c>
      <c r="B60" s="42"/>
      <c r="C60" s="42"/>
      <c r="D60" s="42"/>
      <c r="E60" s="42"/>
      <c r="F60" s="42"/>
      <c r="G60" s="47">
        <v>45754.93</v>
      </c>
    </row>
    <row r="61" spans="1:7" ht="58.5" customHeight="1">
      <c r="A61" s="44" t="s">
        <v>74</v>
      </c>
      <c r="B61" s="44"/>
      <c r="C61" s="44"/>
      <c r="D61" s="44"/>
      <c r="E61" s="44"/>
      <c r="F61" s="44"/>
      <c r="G61" s="48">
        <f>G56-G58+G60-G57</f>
        <v>-1585.566063086204</v>
      </c>
    </row>
    <row r="65" ht="15.7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G66"/>
  <sheetViews>
    <sheetView zoomScale="75" zoomScaleNormal="75" workbookViewId="0" topLeftCell="A1">
      <selection activeCell="G23" sqref="G23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3.2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120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2678.2</v>
      </c>
      <c r="F3" s="8" t="s">
        <v>5</v>
      </c>
      <c r="G3" s="11">
        <v>4</v>
      </c>
    </row>
    <row r="4" spans="1:7" ht="18.75">
      <c r="A4" s="12" t="s">
        <v>6</v>
      </c>
      <c r="B4" s="46">
        <v>11.39</v>
      </c>
      <c r="C4" s="1" t="s">
        <v>93</v>
      </c>
      <c r="F4" s="8" t="s">
        <v>8</v>
      </c>
      <c r="G4" s="9">
        <v>1975</v>
      </c>
    </row>
    <row r="5" spans="1:7" ht="18.75">
      <c r="A5" s="12" t="s">
        <v>6</v>
      </c>
      <c r="B5" s="46">
        <v>11.54</v>
      </c>
      <c r="C5" s="1" t="s">
        <v>94</v>
      </c>
      <c r="F5" s="8"/>
      <c r="G5" s="9"/>
    </row>
    <row r="6" spans="1:7" ht="18.75">
      <c r="A6" s="12" t="s">
        <v>6</v>
      </c>
      <c r="B6" s="46">
        <v>11.59</v>
      </c>
      <c r="C6" s="1" t="s">
        <v>10</v>
      </c>
      <c r="F6" s="8"/>
      <c r="G6" s="9"/>
    </row>
    <row r="7" spans="1:3" ht="18.75">
      <c r="A7" s="12" t="s">
        <v>6</v>
      </c>
      <c r="B7" s="46">
        <v>12.14</v>
      </c>
      <c r="C7" s="1" t="s">
        <v>95</v>
      </c>
    </row>
    <row r="8" spans="1:7" ht="18.75" hidden="1">
      <c r="A8" s="15" t="s">
        <v>12</v>
      </c>
      <c r="B8" s="16">
        <v>268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1360</v>
      </c>
      <c r="C11" s="18">
        <v>2440</v>
      </c>
      <c r="D11" s="18">
        <v>588</v>
      </c>
      <c r="E11" s="18">
        <v>3212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543.7</v>
      </c>
      <c r="C13" s="21">
        <v>535.6</v>
      </c>
      <c r="D13" s="21">
        <f>B13+C13</f>
        <v>1079.3000000000002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60</v>
      </c>
      <c r="C15" s="25"/>
      <c r="D15" s="25">
        <v>60</v>
      </c>
      <c r="E15" s="26">
        <f>D15+C15+B15</f>
        <v>120</v>
      </c>
      <c r="F15" s="18"/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0">
        <f>B8*8.689*12</f>
        <v>27943.824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0">
        <f>B9*35.705*12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0">
        <f>B12*0.3613*12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0">
        <f>(B11*12.84/100*189)+(C11*9.63/100*113)+(D11*32.11/100*71)+(E11*2.41/100*12)</f>
        <v>73889.96519999999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18873.536852327885</v>
      </c>
    </row>
    <row r="22" spans="1:7" ht="15.75">
      <c r="A22" s="29" t="s">
        <v>35</v>
      </c>
      <c r="B22" s="29"/>
      <c r="C22" s="29"/>
      <c r="D22" s="29"/>
      <c r="E22" s="29"/>
      <c r="F22" s="29"/>
      <c r="G22" s="30">
        <f>D13*0.135*6+679.62</f>
        <v>1553.853</v>
      </c>
    </row>
    <row r="23" spans="1:7" ht="16.5">
      <c r="A23" s="29" t="s">
        <v>36</v>
      </c>
      <c r="B23" s="29"/>
      <c r="C23" s="29"/>
      <c r="D23" s="29"/>
      <c r="E23" s="29"/>
      <c r="F23" s="29"/>
      <c r="G23" s="30">
        <f>114.94+3663.9+732.78+316.1+3965.51</f>
        <v>8793.23</v>
      </c>
    </row>
    <row r="24" spans="1:7" ht="15.75">
      <c r="A24" s="29" t="s">
        <v>37</v>
      </c>
      <c r="B24" s="29"/>
      <c r="C24" s="29"/>
      <c r="D24" s="29"/>
      <c r="E24" s="29"/>
      <c r="F24" s="29"/>
      <c r="G24" s="30">
        <f>B3*0.885*12</f>
        <v>28442.483999999997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5.75">
      <c r="A28" s="29" t="s">
        <v>121</v>
      </c>
      <c r="B28" s="29"/>
      <c r="C28" s="29"/>
      <c r="D28" s="29"/>
      <c r="E28" s="29"/>
      <c r="F28" s="29"/>
      <c r="G28" s="30">
        <f>3017.52+269.56</f>
        <v>3287.08</v>
      </c>
    </row>
    <row r="29" spans="1:7" ht="15.75">
      <c r="A29" s="29" t="s">
        <v>97</v>
      </c>
      <c r="B29" s="29"/>
      <c r="C29" s="29"/>
      <c r="D29" s="29"/>
      <c r="E29" s="29"/>
      <c r="F29" s="29"/>
      <c r="G29" s="30">
        <v>4224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0">
        <f>B3*1.81*6+B3*1.86*6</f>
        <v>58973.96399999999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565.2</v>
      </c>
    </row>
    <row r="34" spans="1:7" ht="15.75">
      <c r="A34" s="29" t="s">
        <v>47</v>
      </c>
      <c r="B34" s="29"/>
      <c r="C34" s="29"/>
      <c r="D34" s="29"/>
      <c r="E34" s="29"/>
      <c r="F34" s="29"/>
      <c r="G34" s="30">
        <f>B3*0.65*12</f>
        <v>20889.96</v>
      </c>
    </row>
    <row r="35" spans="1:7" ht="15.75">
      <c r="A35" s="29" t="s">
        <v>48</v>
      </c>
      <c r="B35" s="29"/>
      <c r="C35" s="29"/>
      <c r="D35" s="29"/>
      <c r="E35" s="29"/>
      <c r="F35" s="29"/>
      <c r="G35" s="30">
        <f>B3*0.82*12</f>
        <v>26353.487999999998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B3*0.95*12</f>
        <v>30531.48</v>
      </c>
    </row>
    <row r="37" spans="1:7" ht="15.7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304322.0650523278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5.75" hidden="1">
      <c r="A39" s="29" t="s">
        <v>52</v>
      </c>
      <c r="B39" s="29"/>
      <c r="C39" s="29"/>
      <c r="D39" s="29"/>
      <c r="E39" s="29"/>
      <c r="F39" s="29"/>
      <c r="G39" s="30">
        <f>B3*2.96*12</f>
        <v>95129.66399999999</v>
      </c>
    </row>
    <row r="40" spans="1:7" ht="15.75">
      <c r="A40" s="29" t="s">
        <v>53</v>
      </c>
      <c r="B40" s="29"/>
      <c r="C40" s="29"/>
      <c r="D40" s="29"/>
      <c r="E40" s="29"/>
      <c r="F40" s="29"/>
      <c r="G40" s="30"/>
    </row>
    <row r="41" spans="1:7" ht="17.25">
      <c r="A41" s="37" t="s">
        <v>54</v>
      </c>
      <c r="B41" s="37"/>
      <c r="C41" s="37"/>
      <c r="D41" s="37"/>
      <c r="E41" s="37"/>
      <c r="F41" s="37"/>
      <c r="G41" s="30">
        <v>4865.5</v>
      </c>
    </row>
    <row r="42" spans="1:7" ht="17.25">
      <c r="A42" s="37" t="s">
        <v>55</v>
      </c>
      <c r="B42" s="37"/>
      <c r="C42" s="37"/>
      <c r="D42" s="37"/>
      <c r="E42" s="37"/>
      <c r="F42" s="37"/>
      <c r="G42" s="30">
        <f>695.4+765.35</f>
        <v>1460.75</v>
      </c>
    </row>
    <row r="43" spans="1:7" ht="17.25">
      <c r="A43" s="37" t="s">
        <v>56</v>
      </c>
      <c r="B43" s="37"/>
      <c r="C43" s="37"/>
      <c r="D43" s="37"/>
      <c r="E43" s="37"/>
      <c r="F43" s="37"/>
      <c r="G43" s="30">
        <v>376.51</v>
      </c>
    </row>
    <row r="44" spans="1:7" ht="17.25" hidden="1">
      <c r="A44" s="37" t="s">
        <v>57</v>
      </c>
      <c r="B44" s="37"/>
      <c r="C44" s="37"/>
      <c r="D44" s="37"/>
      <c r="E44" s="37"/>
      <c r="F44" s="37"/>
      <c r="G44" s="30"/>
    </row>
    <row r="45" spans="1:7" ht="17.25" hidden="1">
      <c r="A45" s="37" t="s">
        <v>58</v>
      </c>
      <c r="B45" s="37"/>
      <c r="C45" s="37"/>
      <c r="D45" s="37"/>
      <c r="E45" s="37"/>
      <c r="F45" s="37"/>
      <c r="G45" s="30"/>
    </row>
    <row r="46" spans="1:7" ht="17.25">
      <c r="A46" s="37" t="s">
        <v>59</v>
      </c>
      <c r="B46" s="37"/>
      <c r="C46" s="37"/>
      <c r="D46" s="37"/>
      <c r="E46" s="37"/>
      <c r="F46" s="37"/>
      <c r="G46" s="30"/>
    </row>
    <row r="47" spans="1:7" ht="17.25">
      <c r="A47" s="37" t="s">
        <v>60</v>
      </c>
      <c r="B47" s="37"/>
      <c r="C47" s="37"/>
      <c r="D47" s="37"/>
      <c r="E47" s="37"/>
      <c r="F47" s="37"/>
      <c r="G47" s="30">
        <f>843.42+42.08+42.08</f>
        <v>927.58</v>
      </c>
    </row>
    <row r="48" spans="1:7" ht="17.25">
      <c r="A48" s="37" t="s">
        <v>61</v>
      </c>
      <c r="B48" s="37"/>
      <c r="C48" s="37"/>
      <c r="D48" s="37"/>
      <c r="E48" s="37"/>
      <c r="F48" s="37"/>
      <c r="G48" s="30">
        <v>14280.31</v>
      </c>
    </row>
    <row r="49" spans="1:7" ht="17.25" hidden="1">
      <c r="A49" s="37" t="s">
        <v>122</v>
      </c>
      <c r="B49" s="37"/>
      <c r="C49" s="37"/>
      <c r="D49" s="37"/>
      <c r="E49" s="37"/>
      <c r="F49" s="37"/>
      <c r="G49" s="30"/>
    </row>
    <row r="50" spans="1:7" ht="17.25">
      <c r="A50" s="37" t="s">
        <v>62</v>
      </c>
      <c r="B50" s="37"/>
      <c r="C50" s="37"/>
      <c r="D50" s="37"/>
      <c r="E50" s="37"/>
      <c r="F50" s="37"/>
      <c r="G50" s="30">
        <v>323.1</v>
      </c>
    </row>
    <row r="51" spans="1:7" ht="17.25" hidden="1">
      <c r="A51" s="37" t="s">
        <v>63</v>
      </c>
      <c r="B51" s="37"/>
      <c r="C51" s="37"/>
      <c r="D51" s="37"/>
      <c r="E51" s="37"/>
      <c r="F51" s="37"/>
      <c r="G51" s="30"/>
    </row>
    <row r="52" spans="1:7" ht="17.25" hidden="1">
      <c r="A52" s="37" t="s">
        <v>64</v>
      </c>
      <c r="B52" s="37"/>
      <c r="C52" s="37"/>
      <c r="D52" s="37"/>
      <c r="E52" s="37"/>
      <c r="F52" s="37"/>
      <c r="G52" s="30"/>
    </row>
    <row r="53" spans="1:7" ht="17.25" customHeight="1">
      <c r="A53" s="37" t="s">
        <v>65</v>
      </c>
      <c r="B53" s="37"/>
      <c r="C53" s="37"/>
      <c r="D53" s="37"/>
      <c r="E53" s="37"/>
      <c r="F53" s="37"/>
      <c r="G53" s="30">
        <v>12923.4</v>
      </c>
    </row>
    <row r="54" spans="1:7" ht="15.75" customHeight="1" hidden="1">
      <c r="A54" s="37" t="s">
        <v>66</v>
      </c>
      <c r="B54" s="37"/>
      <c r="C54" s="37"/>
      <c r="D54" s="37"/>
      <c r="E54" s="37"/>
      <c r="F54" s="37"/>
      <c r="G54" s="30"/>
    </row>
    <row r="55" spans="1:7" ht="15.75" customHeight="1" hidden="1">
      <c r="A55" s="37" t="s">
        <v>67</v>
      </c>
      <c r="B55" s="37"/>
      <c r="C55" s="37"/>
      <c r="D55" s="37"/>
      <c r="E55" s="37"/>
      <c r="F55" s="37"/>
      <c r="G55" s="30"/>
    </row>
    <row r="56" spans="1:7" ht="15.75" customHeight="1">
      <c r="A56" s="38" t="s">
        <v>68</v>
      </c>
      <c r="B56" s="38"/>
      <c r="C56" s="38"/>
      <c r="D56" s="38"/>
      <c r="E56" s="38"/>
      <c r="F56" s="38"/>
      <c r="G56" s="34">
        <f>G41+G42+G43+G44+G45+G46+G47+G49+G50+G51+G52+G53+G54+G55+G48</f>
        <v>35157.15</v>
      </c>
    </row>
    <row r="57" spans="1:7" ht="15.75" customHeight="1">
      <c r="A57" s="38" t="s">
        <v>69</v>
      </c>
      <c r="B57" s="38"/>
      <c r="C57" s="38"/>
      <c r="D57" s="38"/>
      <c r="E57" s="38"/>
      <c r="F57" s="38"/>
      <c r="G57" s="34">
        <f>G37+G56</f>
        <v>339479.21505232784</v>
      </c>
    </row>
    <row r="58" spans="1:7" ht="17.25" customHeight="1">
      <c r="A58" s="29" t="s">
        <v>70</v>
      </c>
      <c r="B58" s="29"/>
      <c r="C58" s="29"/>
      <c r="D58" s="29"/>
      <c r="E58" s="29"/>
      <c r="F58" s="29"/>
      <c r="G58" s="30">
        <v>0</v>
      </c>
    </row>
    <row r="59" spans="1:7" ht="15.75">
      <c r="A59" s="40" t="s">
        <v>71</v>
      </c>
      <c r="B59" s="40"/>
      <c r="C59" s="40"/>
      <c r="D59" s="40"/>
      <c r="E59" s="40"/>
      <c r="F59" s="40"/>
      <c r="G59" s="34">
        <f>B3*B4*4+B3*B5*2+B3*B6*5+B3*B7*1+G60</f>
        <v>383141.086</v>
      </c>
    </row>
    <row r="60" spans="1:7" ht="15.75" customHeight="1">
      <c r="A60" s="41" t="s">
        <v>113</v>
      </c>
      <c r="B60" s="41"/>
      <c r="C60" s="41"/>
      <c r="D60" s="41"/>
      <c r="E60" s="41"/>
      <c r="F60" s="41"/>
      <c r="G60" s="34">
        <f>160*1*12+180*1*12+141.6*1*12+215.6*1*12+269*1*12</f>
        <v>11594.4</v>
      </c>
    </row>
    <row r="61" spans="1:7" ht="15.75" customHeight="1">
      <c r="A61" s="42" t="s">
        <v>73</v>
      </c>
      <c r="B61" s="42"/>
      <c r="C61" s="42"/>
      <c r="D61" s="42"/>
      <c r="E61" s="42"/>
      <c r="F61" s="42"/>
      <c r="G61" s="47">
        <v>16023.23</v>
      </c>
    </row>
    <row r="62" spans="1:7" ht="55.5" customHeight="1">
      <c r="A62" s="44" t="s">
        <v>123</v>
      </c>
      <c r="B62" s="44"/>
      <c r="C62" s="44"/>
      <c r="D62" s="44"/>
      <c r="E62" s="44"/>
      <c r="F62" s="44"/>
      <c r="G62" s="48">
        <f>G57-G59+G61-G58</f>
        <v>-27638.64094767217</v>
      </c>
    </row>
    <row r="63" ht="15.75">
      <c r="G63" s="49"/>
    </row>
    <row r="66" ht="15.75">
      <c r="A66" s="1" t="s">
        <v>75</v>
      </c>
    </row>
  </sheetData>
  <sheetProtection selectLockedCells="1" selectUnlockedCells="1"/>
  <mergeCells count="49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</mergeCells>
  <printOptions/>
  <pageMargins left="0.3298611111111111" right="0" top="0" bottom="0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G77"/>
  <sheetViews>
    <sheetView zoomScale="75" zoomScaleNormal="75" workbookViewId="0" topLeftCell="A1">
      <selection activeCell="A25" sqref="A25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49.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124</v>
      </c>
      <c r="C2" s="7"/>
      <c r="D2" s="7"/>
      <c r="E2" s="7"/>
      <c r="F2" s="8" t="s">
        <v>3</v>
      </c>
      <c r="G2" s="9">
        <v>9</v>
      </c>
    </row>
    <row r="3" spans="1:7" ht="18.75">
      <c r="A3" s="6" t="s">
        <v>4</v>
      </c>
      <c r="B3" s="10">
        <v>7688.7</v>
      </c>
      <c r="F3" s="8" t="s">
        <v>5</v>
      </c>
      <c r="G3" s="11">
        <v>4</v>
      </c>
    </row>
    <row r="4" spans="1:7" ht="18.75">
      <c r="A4" s="12" t="s">
        <v>6</v>
      </c>
      <c r="B4" s="13">
        <v>12.1</v>
      </c>
      <c r="C4" s="1" t="s">
        <v>93</v>
      </c>
      <c r="F4" s="8" t="s">
        <v>8</v>
      </c>
      <c r="G4" s="9">
        <v>1978</v>
      </c>
    </row>
    <row r="5" spans="1:7" ht="18.75">
      <c r="A5" s="12" t="s">
        <v>6</v>
      </c>
      <c r="B5" s="13">
        <v>12.25</v>
      </c>
      <c r="C5" s="1" t="s">
        <v>94</v>
      </c>
      <c r="F5" s="8"/>
      <c r="G5" s="9"/>
    </row>
    <row r="6" spans="1:7" ht="18.75">
      <c r="A6" s="12" t="s">
        <v>6</v>
      </c>
      <c r="B6" s="13">
        <v>12.3</v>
      </c>
      <c r="C6" s="1" t="s">
        <v>10</v>
      </c>
      <c r="F6" s="8"/>
      <c r="G6" s="9"/>
    </row>
    <row r="7" spans="1:3" ht="18.75">
      <c r="A7" s="12" t="s">
        <v>6</v>
      </c>
      <c r="B7" s="46">
        <v>12.69</v>
      </c>
      <c r="C7" s="1" t="s">
        <v>95</v>
      </c>
    </row>
    <row r="8" spans="1:7" ht="18.75" hidden="1">
      <c r="A8" s="15" t="s">
        <v>12</v>
      </c>
      <c r="B8" s="16">
        <v>821.7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4</v>
      </c>
      <c r="C9" s="17" t="s">
        <v>82</v>
      </c>
      <c r="D9" s="17">
        <v>4</v>
      </c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2807</v>
      </c>
      <c r="C11" s="18">
        <v>4545</v>
      </c>
      <c r="D11" s="18">
        <v>1280</v>
      </c>
      <c r="E11" s="18">
        <v>5787</v>
      </c>
      <c r="F11" s="17"/>
      <c r="G11" s="17"/>
    </row>
    <row r="12" spans="1:7" ht="18.75" hidden="1">
      <c r="A12" s="15" t="s">
        <v>19</v>
      </c>
      <c r="B12" s="21">
        <v>0</v>
      </c>
      <c r="C12" s="17" t="s">
        <v>20</v>
      </c>
      <c r="D12" s="17"/>
      <c r="E12" s="17"/>
      <c r="F12" s="17"/>
      <c r="G12" s="17">
        <v>7682.2</v>
      </c>
    </row>
    <row r="13" spans="1:7" ht="18.75" hidden="1">
      <c r="A13" s="15" t="s">
        <v>21</v>
      </c>
      <c r="B13" s="21">
        <v>991.5</v>
      </c>
      <c r="C13" s="21">
        <v>853.6</v>
      </c>
      <c r="D13" s="21">
        <f>B13+C13</f>
        <v>1845.1</v>
      </c>
      <c r="E13" s="17"/>
      <c r="F13" s="17"/>
      <c r="G13" s="17"/>
    </row>
    <row r="14" spans="1:7" ht="48.75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144</v>
      </c>
      <c r="C15" s="25"/>
      <c r="D15" s="25">
        <v>144</v>
      </c>
      <c r="E15" s="26">
        <f>D15+C15+B15</f>
        <v>288</v>
      </c>
      <c r="F15" s="18"/>
      <c r="G15" s="17"/>
    </row>
    <row r="16" spans="1:7" ht="16.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6.5">
      <c r="A17" s="29" t="s">
        <v>30</v>
      </c>
      <c r="B17" s="29"/>
      <c r="C17" s="29"/>
      <c r="D17" s="29"/>
      <c r="E17" s="29"/>
      <c r="F17" s="29"/>
      <c r="G17" s="30">
        <f>B8*7.012*12</f>
        <v>69141.1248</v>
      </c>
    </row>
    <row r="18" spans="1:7" ht="16.5">
      <c r="A18" s="29" t="s">
        <v>31</v>
      </c>
      <c r="B18" s="29"/>
      <c r="C18" s="29"/>
      <c r="D18" s="29"/>
      <c r="E18" s="29"/>
      <c r="F18" s="29"/>
      <c r="G18" s="30">
        <f>B9*35.705*12</f>
        <v>1713.84</v>
      </c>
    </row>
    <row r="19" spans="1:7" ht="15.75" customHeight="1">
      <c r="A19" s="29" t="s">
        <v>32</v>
      </c>
      <c r="B19" s="29"/>
      <c r="C19" s="29"/>
      <c r="D19" s="29"/>
      <c r="E19" s="29"/>
      <c r="F19" s="29"/>
      <c r="G19" s="30">
        <f>B12*0.3613*2</f>
        <v>0</v>
      </c>
    </row>
    <row r="20" spans="1:7" ht="16.5">
      <c r="A20" s="29" t="s">
        <v>33</v>
      </c>
      <c r="B20" s="29"/>
      <c r="C20" s="29"/>
      <c r="D20" s="29"/>
      <c r="E20" s="29"/>
      <c r="F20" s="29"/>
      <c r="G20" s="30">
        <f>(B11*9.46/100*189)+(C11*7.09/100*113)+(D11*23.66/100*71)+(E11*1.77/100*12)</f>
        <v>109332.01910000002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54183.0194893934</v>
      </c>
    </row>
    <row r="22" spans="1:7" ht="16.5">
      <c r="A22" s="29" t="s">
        <v>35</v>
      </c>
      <c r="B22" s="29"/>
      <c r="C22" s="29"/>
      <c r="D22" s="29"/>
      <c r="E22" s="29"/>
      <c r="F22" s="29"/>
      <c r="G22" s="30">
        <f>D13*0.135*6</f>
        <v>1494.531</v>
      </c>
    </row>
    <row r="23" spans="1:7" ht="16.5">
      <c r="A23" s="29" t="s">
        <v>36</v>
      </c>
      <c r="B23" s="29"/>
      <c r="C23" s="29"/>
      <c r="D23" s="29"/>
      <c r="E23" s="29"/>
      <c r="F23" s="29"/>
      <c r="G23" s="30">
        <f>114.94+8793.36+1264.39+431.03+7241.42</f>
        <v>17845.14</v>
      </c>
    </row>
    <row r="24" spans="1:7" ht="16.5">
      <c r="A24" s="29" t="s">
        <v>37</v>
      </c>
      <c r="B24" s="29"/>
      <c r="C24" s="29"/>
      <c r="D24" s="29"/>
      <c r="E24" s="29"/>
      <c r="F24" s="29"/>
      <c r="G24" s="30">
        <f>B3*0.885*12</f>
        <v>81653.994</v>
      </c>
    </row>
    <row r="25" spans="1:7" ht="16.5">
      <c r="A25" s="29" t="s">
        <v>87</v>
      </c>
      <c r="B25" s="29"/>
      <c r="C25" s="29"/>
      <c r="D25" s="29"/>
      <c r="E25" s="29"/>
      <c r="F25" s="29"/>
      <c r="G25" s="30">
        <f>B3*2.648*4+B3*2.245*8</f>
        <v>219527.7624</v>
      </c>
    </row>
    <row r="26" spans="1:7" ht="16.5">
      <c r="A26" s="29" t="s">
        <v>39</v>
      </c>
      <c r="B26" s="29"/>
      <c r="C26" s="29"/>
      <c r="D26" s="29"/>
      <c r="E26" s="29"/>
      <c r="F26" s="29"/>
      <c r="G26" s="30">
        <f>9990*4</f>
        <v>39960</v>
      </c>
    </row>
    <row r="27" spans="1:7" ht="16.5">
      <c r="A27" s="29" t="s">
        <v>40</v>
      </c>
      <c r="B27" s="29"/>
      <c r="C27" s="29"/>
      <c r="D27" s="29"/>
      <c r="E27" s="29"/>
      <c r="F27" s="29"/>
      <c r="G27" s="30">
        <f>4*1209</f>
        <v>4836</v>
      </c>
    </row>
    <row r="28" spans="1:7" ht="16.5">
      <c r="A28" s="29" t="s">
        <v>41</v>
      </c>
      <c r="B28" s="29"/>
      <c r="C28" s="29"/>
      <c r="D28" s="29"/>
      <c r="E28" s="29"/>
      <c r="F28" s="29"/>
      <c r="G28" s="30">
        <v>20991.76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6.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6.5">
      <c r="A32" s="29" t="s">
        <v>45</v>
      </c>
      <c r="B32" s="29"/>
      <c r="C32" s="29"/>
      <c r="D32" s="29"/>
      <c r="E32" s="29"/>
      <c r="F32" s="29"/>
      <c r="G32" s="30">
        <f>B3*1.81*6+B3*1.86*6</f>
        <v>169305.174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1356.48</v>
      </c>
    </row>
    <row r="34" spans="1:7" ht="16.5">
      <c r="A34" s="29" t="s">
        <v>47</v>
      </c>
      <c r="B34" s="29"/>
      <c r="C34" s="29"/>
      <c r="D34" s="29"/>
      <c r="E34" s="29"/>
      <c r="F34" s="29"/>
      <c r="G34" s="30">
        <f>B3*0.65*12</f>
        <v>59971.86</v>
      </c>
    </row>
    <row r="35" spans="1:7" ht="16.5">
      <c r="A35" s="29" t="s">
        <v>48</v>
      </c>
      <c r="B35" s="29"/>
      <c r="C35" s="29"/>
      <c r="D35" s="29"/>
      <c r="E35" s="29"/>
      <c r="F35" s="29"/>
      <c r="G35" s="30">
        <f>B3*0.82*12</f>
        <v>75656.808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B3*0.9*12</f>
        <v>83037.95999999999</v>
      </c>
    </row>
    <row r="37" spans="1:7" ht="16.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1010007.4727893933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6.5" hidden="1">
      <c r="A39" s="29" t="s">
        <v>52</v>
      </c>
      <c r="B39" s="29"/>
      <c r="C39" s="29"/>
      <c r="D39" s="29"/>
      <c r="E39" s="29"/>
      <c r="F39" s="29"/>
      <c r="G39" s="30">
        <f>B3*2.96*12</f>
        <v>273102.624</v>
      </c>
    </row>
    <row r="40" spans="1:7" ht="16.5">
      <c r="A40" s="29" t="s">
        <v>53</v>
      </c>
      <c r="B40" s="29"/>
      <c r="C40" s="29"/>
      <c r="D40" s="29"/>
      <c r="E40" s="29"/>
      <c r="F40" s="29"/>
      <c r="G40" s="30"/>
    </row>
    <row r="41" spans="1:7" ht="16.5">
      <c r="A41" s="37" t="s">
        <v>54</v>
      </c>
      <c r="B41" s="37"/>
      <c r="C41" s="37"/>
      <c r="D41" s="37"/>
      <c r="E41" s="37"/>
      <c r="F41" s="37"/>
      <c r="G41" s="30">
        <f>1206.91+1444.36</f>
        <v>2651.27</v>
      </c>
    </row>
    <row r="42" spans="1:7" ht="16.5">
      <c r="A42" s="37" t="s">
        <v>55</v>
      </c>
      <c r="B42" s="37"/>
      <c r="C42" s="37"/>
      <c r="D42" s="37"/>
      <c r="E42" s="37"/>
      <c r="F42" s="37"/>
      <c r="G42" s="30">
        <f>1625.88+2826.52</f>
        <v>4452.4</v>
      </c>
    </row>
    <row r="43" spans="1:7" ht="16.5">
      <c r="A43" s="37" t="s">
        <v>56</v>
      </c>
      <c r="B43" s="37"/>
      <c r="C43" s="37"/>
      <c r="D43" s="37"/>
      <c r="E43" s="37"/>
      <c r="F43" s="37"/>
      <c r="G43" s="30"/>
    </row>
    <row r="44" spans="1:7" ht="16.5" hidden="1">
      <c r="A44" s="37" t="s">
        <v>57</v>
      </c>
      <c r="B44" s="37"/>
      <c r="C44" s="37"/>
      <c r="D44" s="37"/>
      <c r="E44" s="37"/>
      <c r="F44" s="37"/>
      <c r="G44" s="30"/>
    </row>
    <row r="45" spans="1:7" ht="16.5" hidden="1">
      <c r="A45" s="37" t="s">
        <v>58</v>
      </c>
      <c r="B45" s="37"/>
      <c r="C45" s="37"/>
      <c r="D45" s="37"/>
      <c r="E45" s="37"/>
      <c r="F45" s="37"/>
      <c r="G45" s="30"/>
    </row>
    <row r="46" spans="1:7" ht="16.5">
      <c r="A46" s="37" t="s">
        <v>59</v>
      </c>
      <c r="B46" s="37"/>
      <c r="C46" s="37"/>
      <c r="D46" s="37"/>
      <c r="E46" s="37"/>
      <c r="F46" s="37"/>
      <c r="G46" s="30">
        <f>2692.45+476.96</f>
        <v>3169.41</v>
      </c>
    </row>
    <row r="47" spans="1:7" ht="16.5">
      <c r="A47" s="37" t="s">
        <v>60</v>
      </c>
      <c r="B47" s="37"/>
      <c r="C47" s="37"/>
      <c r="D47" s="37"/>
      <c r="E47" s="37"/>
      <c r="F47" s="37"/>
      <c r="G47" s="30">
        <f>3452.74+42.07+42.09+42.08+42.09+42.07</f>
        <v>3663.1400000000003</v>
      </c>
    </row>
    <row r="48" spans="1:7" ht="16.5">
      <c r="A48" s="37" t="s">
        <v>61</v>
      </c>
      <c r="B48" s="37"/>
      <c r="C48" s="37"/>
      <c r="D48" s="37"/>
      <c r="E48" s="37"/>
      <c r="F48" s="37"/>
      <c r="G48" s="30">
        <f>1078.01+9450.21+3780.08+1680.04+2520.06</f>
        <v>18508.4</v>
      </c>
    </row>
    <row r="49" spans="1:7" ht="16.5" hidden="1">
      <c r="A49" s="37" t="s">
        <v>62</v>
      </c>
      <c r="B49" s="37"/>
      <c r="C49" s="37"/>
      <c r="D49" s="37"/>
      <c r="E49" s="37"/>
      <c r="F49" s="37"/>
      <c r="G49" s="30"/>
    </row>
    <row r="50" spans="1:7" ht="16.5">
      <c r="A50" s="37" t="s">
        <v>125</v>
      </c>
      <c r="B50" s="37"/>
      <c r="C50" s="37"/>
      <c r="D50" s="37"/>
      <c r="E50" s="37"/>
      <c r="F50" s="37"/>
      <c r="G50" s="30">
        <v>56.71</v>
      </c>
    </row>
    <row r="51" spans="1:7" ht="16.5" hidden="1">
      <c r="A51" s="37" t="s">
        <v>64</v>
      </c>
      <c r="B51" s="37"/>
      <c r="C51" s="37"/>
      <c r="D51" s="37"/>
      <c r="E51" s="37"/>
      <c r="F51" s="37"/>
      <c r="G51" s="30"/>
    </row>
    <row r="52" spans="1:7" ht="16.5">
      <c r="A52" s="37" t="s">
        <v>65</v>
      </c>
      <c r="B52" s="37"/>
      <c r="C52" s="37"/>
      <c r="D52" s="37"/>
      <c r="E52" s="37"/>
      <c r="F52" s="37"/>
      <c r="G52" s="30">
        <v>62032.32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94533.65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4">
        <f>G37+G55</f>
        <v>1104541.1227893932</v>
      </c>
    </row>
    <row r="57" spans="1:7" ht="16.5">
      <c r="A57" s="29" t="s">
        <v>70</v>
      </c>
      <c r="B57" s="29"/>
      <c r="C57" s="29"/>
      <c r="D57" s="29"/>
      <c r="E57" s="29"/>
      <c r="F57" s="29"/>
      <c r="G57" s="30">
        <v>-4754.63</v>
      </c>
    </row>
    <row r="58" spans="1:7" ht="15.75" customHeight="1">
      <c r="A58" s="40" t="s">
        <v>71</v>
      </c>
      <c r="B58" s="40"/>
      <c r="C58" s="40"/>
      <c r="D58" s="40"/>
      <c r="E58" s="40"/>
      <c r="F58" s="40"/>
      <c r="G58" s="34">
        <f>B3*B4*4+B3*B5*2+B3*B6*5+B3*B7*1+G59</f>
        <v>1149578.883</v>
      </c>
    </row>
    <row r="59" spans="1:7" ht="16.5">
      <c r="A59" s="41" t="s">
        <v>113</v>
      </c>
      <c r="B59" s="41"/>
      <c r="C59" s="41"/>
      <c r="D59" s="41"/>
      <c r="E59" s="41"/>
      <c r="F59" s="41"/>
      <c r="G59" s="30">
        <f>160*1*12+141.6*1*12+215.6*2*12+141.6*2*12+269*2*12</f>
        <v>18648</v>
      </c>
    </row>
    <row r="60" spans="1:7" ht="17.25" customHeight="1">
      <c r="A60" s="42" t="s">
        <v>73</v>
      </c>
      <c r="B60" s="42"/>
      <c r="C60" s="42"/>
      <c r="D60" s="42"/>
      <c r="E60" s="42"/>
      <c r="F60" s="42"/>
      <c r="G60" s="47">
        <v>61426.35</v>
      </c>
    </row>
    <row r="61" spans="1:7" ht="58.5" customHeight="1">
      <c r="A61" s="44" t="s">
        <v>110</v>
      </c>
      <c r="B61" s="44"/>
      <c r="C61" s="44"/>
      <c r="D61" s="44"/>
      <c r="E61" s="44"/>
      <c r="F61" s="44"/>
      <c r="G61" s="48">
        <f>G56-G58+G60-G57</f>
        <v>21143.219789393264</v>
      </c>
    </row>
    <row r="62" ht="16.5">
      <c r="G62" s="49"/>
    </row>
    <row r="63" ht="15.75">
      <c r="G63" s="49"/>
    </row>
    <row r="64" spans="1:7" ht="16.5">
      <c r="A64" s="1" t="s">
        <v>75</v>
      </c>
      <c r="G64" s="49"/>
    </row>
    <row r="65" ht="16.5">
      <c r="G65" s="49"/>
    </row>
    <row r="66" ht="16.5">
      <c r="G66" s="49"/>
    </row>
    <row r="67" ht="16.5">
      <c r="G67" s="49"/>
    </row>
    <row r="68" ht="16.5">
      <c r="G68" s="49"/>
    </row>
    <row r="69" ht="16.5">
      <c r="G69" s="49"/>
    </row>
    <row r="70" ht="16.5">
      <c r="G70" s="49"/>
    </row>
    <row r="71" ht="16.5">
      <c r="G71" s="49"/>
    </row>
    <row r="72" ht="16.5">
      <c r="G72" s="49"/>
    </row>
    <row r="73" ht="16.5">
      <c r="G73" s="49"/>
    </row>
    <row r="74" ht="16.5">
      <c r="G74" s="49"/>
    </row>
    <row r="75" ht="16.5">
      <c r="G75" s="49"/>
    </row>
    <row r="76" ht="16.5">
      <c r="G76" s="49"/>
    </row>
    <row r="77" ht="16.5">
      <c r="G77" s="49"/>
    </row>
    <row r="83" ht="16.5"/>
    <row r="84" ht="16.5"/>
    <row r="85" ht="16.5"/>
    <row r="86" ht="16.5"/>
    <row r="87" ht="16.5"/>
    <row r="88" ht="16.5"/>
    <row r="89" ht="16.5"/>
    <row r="90" ht="16.5"/>
    <row r="91" ht="16.5"/>
    <row r="92" ht="16.5"/>
    <row r="93" ht="16.5"/>
    <row r="95" ht="16.5"/>
    <row r="96" ht="16.5"/>
    <row r="97" ht="16.5"/>
    <row r="99" ht="16.5"/>
    <row r="100" ht="16.5"/>
    <row r="101" ht="16.5"/>
    <row r="102" ht="16.5"/>
    <row r="103" ht="16.5"/>
    <row r="104" ht="16.5"/>
    <row r="105" ht="16.5"/>
    <row r="108" ht="16.5"/>
    <row r="109" ht="16.5"/>
    <row r="110" ht="16.5"/>
    <row r="111" ht="16.5"/>
    <row r="112" ht="16.5"/>
    <row r="113" ht="16.5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  <row r="124" ht="16.5"/>
    <row r="125" ht="16.5"/>
    <row r="126" ht="16.5"/>
    <row r="127" ht="16.5"/>
    <row r="130" ht="16.5"/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.19027777777777777" bottom="0" header="0.5118055555555555" footer="0.5118055555555555"/>
  <pageSetup horizontalDpi="300" verticalDpi="300" orientation="portrait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G65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57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60.7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126</v>
      </c>
      <c r="C2" s="7"/>
      <c r="D2" s="7"/>
      <c r="E2" s="7"/>
      <c r="F2" s="8" t="s">
        <v>3</v>
      </c>
      <c r="G2" s="9">
        <v>9</v>
      </c>
    </row>
    <row r="3" spans="1:7" ht="18.75">
      <c r="A3" s="6" t="s">
        <v>4</v>
      </c>
      <c r="B3" s="10">
        <v>2024.2</v>
      </c>
      <c r="F3" s="8" t="s">
        <v>5</v>
      </c>
      <c r="G3" s="11">
        <v>1</v>
      </c>
    </row>
    <row r="4" spans="1:7" ht="18.75">
      <c r="A4" s="12" t="s">
        <v>6</v>
      </c>
      <c r="B4" s="46">
        <v>12.21</v>
      </c>
      <c r="C4" s="1" t="s">
        <v>93</v>
      </c>
      <c r="F4" s="8" t="s">
        <v>8</v>
      </c>
      <c r="G4" s="9">
        <v>1984</v>
      </c>
    </row>
    <row r="5" spans="1:7" ht="18.75">
      <c r="A5" s="12" t="s">
        <v>6</v>
      </c>
      <c r="B5" s="46">
        <v>12.36</v>
      </c>
      <c r="C5" s="1" t="s">
        <v>94</v>
      </c>
      <c r="F5" s="8"/>
      <c r="G5" s="9"/>
    </row>
    <row r="6" spans="1:7" ht="18.75">
      <c r="A6" s="12" t="s">
        <v>6</v>
      </c>
      <c r="B6" s="46">
        <v>12.41</v>
      </c>
      <c r="C6" s="1" t="s">
        <v>10</v>
      </c>
      <c r="F6" s="8"/>
      <c r="G6" s="9"/>
    </row>
    <row r="7" spans="1:3" ht="18.75">
      <c r="A7" s="12" t="s">
        <v>6</v>
      </c>
      <c r="B7" s="46">
        <v>12.81</v>
      </c>
      <c r="C7" s="1" t="s">
        <v>95</v>
      </c>
    </row>
    <row r="8" spans="1:7" ht="18.75" hidden="1">
      <c r="A8" s="15" t="s">
        <v>12</v>
      </c>
      <c r="B8" s="16">
        <v>346.4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1</v>
      </c>
      <c r="C9" s="17" t="s">
        <v>82</v>
      </c>
      <c r="D9" s="17">
        <v>1</v>
      </c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1365</v>
      </c>
      <c r="C11" s="18">
        <v>970</v>
      </c>
      <c r="D11" s="18">
        <v>865</v>
      </c>
      <c r="E11" s="18">
        <v>1470</v>
      </c>
      <c r="F11" s="17"/>
      <c r="G11" s="17"/>
    </row>
    <row r="12" spans="1:7" ht="18.75" hidden="1">
      <c r="A12" s="15" t="s">
        <v>19</v>
      </c>
      <c r="B12" s="21">
        <v>0</v>
      </c>
      <c r="C12" s="17" t="s">
        <v>127</v>
      </c>
      <c r="D12" s="17"/>
      <c r="E12" s="17"/>
      <c r="F12" s="17"/>
      <c r="G12" s="17"/>
    </row>
    <row r="13" spans="1:7" ht="18.75" hidden="1">
      <c r="A13" s="15" t="s">
        <v>21</v>
      </c>
      <c r="B13" s="21">
        <v>315</v>
      </c>
      <c r="C13" s="21">
        <v>224.9</v>
      </c>
      <c r="D13" s="21">
        <f>B13+C13</f>
        <v>539.9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36</v>
      </c>
      <c r="C15" s="25"/>
      <c r="D15" s="25">
        <v>36</v>
      </c>
      <c r="E15" s="26">
        <f>D15+C15+B15</f>
        <v>72</v>
      </c>
      <c r="F15" s="18"/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0">
        <f>B8*7.012*12</f>
        <v>29147.481599999992</v>
      </c>
    </row>
    <row r="18" spans="1:7" ht="15.75">
      <c r="A18" s="29" t="s">
        <v>31</v>
      </c>
      <c r="B18" s="29"/>
      <c r="C18" s="29"/>
      <c r="D18" s="29"/>
      <c r="E18" s="29"/>
      <c r="F18" s="29"/>
      <c r="G18" s="30">
        <f>B9*35.705*12</f>
        <v>428.46</v>
      </c>
    </row>
    <row r="19" spans="1:7" ht="16.5" customHeight="1">
      <c r="A19" s="29" t="s">
        <v>32</v>
      </c>
      <c r="B19" s="29"/>
      <c r="C19" s="29"/>
      <c r="D19" s="29"/>
      <c r="E19" s="29"/>
      <c r="F19" s="29"/>
      <c r="G19" s="30">
        <f>B12*0.3613*4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0">
        <f>(B11*9.46/100*189)+(C11*7.09/100*113)+(D11*23.66/100*71)+(E11*1.77/100*12)</f>
        <v>47019.747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14264.735007274328</v>
      </c>
    </row>
    <row r="22" spans="1:7" ht="15.75">
      <c r="A22" s="29" t="s">
        <v>35</v>
      </c>
      <c r="B22" s="29"/>
      <c r="C22" s="29"/>
      <c r="D22" s="29"/>
      <c r="E22" s="29"/>
      <c r="F22" s="29"/>
      <c r="G22" s="30">
        <f>D13*0.135*6</f>
        <v>437.31899999999996</v>
      </c>
    </row>
    <row r="23" spans="1:7" ht="16.5">
      <c r="A23" s="29" t="s">
        <v>36</v>
      </c>
      <c r="B23" s="29"/>
      <c r="C23" s="29"/>
      <c r="D23" s="29"/>
      <c r="E23" s="29"/>
      <c r="F23" s="29"/>
      <c r="G23" s="30">
        <f>114.94+2198.34+316.1+107.76+1810.36</f>
        <v>4547.5</v>
      </c>
    </row>
    <row r="24" spans="1:7" ht="15.75">
      <c r="A24" s="29" t="s">
        <v>37</v>
      </c>
      <c r="B24" s="29"/>
      <c r="C24" s="29"/>
      <c r="D24" s="29"/>
      <c r="E24" s="29"/>
      <c r="F24" s="29"/>
      <c r="G24" s="30">
        <f>B3*0.885*12</f>
        <v>21497.004</v>
      </c>
    </row>
    <row r="25" spans="1:7" ht="16.5">
      <c r="A25" s="29" t="s">
        <v>87</v>
      </c>
      <c r="B25" s="29"/>
      <c r="C25" s="29"/>
      <c r="D25" s="29"/>
      <c r="E25" s="29"/>
      <c r="F25" s="29"/>
      <c r="G25" s="30">
        <f>B3*2.648*4+B3*2.245*8</f>
        <v>57794.9584</v>
      </c>
    </row>
    <row r="26" spans="1:7" ht="15.75">
      <c r="A26" s="29" t="s">
        <v>39</v>
      </c>
      <c r="B26" s="29"/>
      <c r="C26" s="29"/>
      <c r="D26" s="29"/>
      <c r="E26" s="29"/>
      <c r="F26" s="29"/>
      <c r="G26" s="30">
        <v>2201</v>
      </c>
    </row>
    <row r="27" spans="1:7" ht="15.75">
      <c r="A27" s="29" t="s">
        <v>40</v>
      </c>
      <c r="B27" s="29"/>
      <c r="C27" s="29"/>
      <c r="D27" s="29"/>
      <c r="E27" s="29"/>
      <c r="F27" s="29"/>
      <c r="G27" s="30">
        <v>1209</v>
      </c>
    </row>
    <row r="28" spans="1:7" ht="15.75">
      <c r="A28" s="29" t="s">
        <v>41</v>
      </c>
      <c r="B28" s="29"/>
      <c r="C28" s="29"/>
      <c r="D28" s="29"/>
      <c r="E28" s="29"/>
      <c r="F28" s="29"/>
      <c r="G28" s="30">
        <v>7511.08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0">
        <f>B3*1.81*6+B3*1.86*6</f>
        <v>44572.884000000005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339.12</v>
      </c>
    </row>
    <row r="34" spans="1:7" ht="15.75">
      <c r="A34" s="29" t="s">
        <v>47</v>
      </c>
      <c r="B34" s="29"/>
      <c r="C34" s="29"/>
      <c r="D34" s="29"/>
      <c r="E34" s="29"/>
      <c r="F34" s="29"/>
      <c r="G34" s="30">
        <f>B3*0.65*12</f>
        <v>15788.76</v>
      </c>
    </row>
    <row r="35" spans="1:7" ht="15.75">
      <c r="A35" s="29" t="s">
        <v>48</v>
      </c>
      <c r="B35" s="29"/>
      <c r="C35" s="29"/>
      <c r="D35" s="29"/>
      <c r="E35" s="29"/>
      <c r="F35" s="29"/>
      <c r="G35" s="30">
        <f>B3*0.82*12</f>
        <v>19918.128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B3*0.9*12</f>
        <v>21861.36</v>
      </c>
    </row>
    <row r="37" spans="1:7" ht="15.7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288538.53700727434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5.75" hidden="1">
      <c r="A39" s="29" t="s">
        <v>52</v>
      </c>
      <c r="B39" s="29"/>
      <c r="C39" s="29"/>
      <c r="D39" s="29"/>
      <c r="E39" s="29"/>
      <c r="F39" s="29"/>
      <c r="G39" s="30">
        <f>B3*2.96*12</f>
        <v>71899.584</v>
      </c>
    </row>
    <row r="40" spans="1:7" ht="15.75">
      <c r="A40" s="29" t="s">
        <v>53</v>
      </c>
      <c r="B40" s="29"/>
      <c r="C40" s="29"/>
      <c r="D40" s="29"/>
      <c r="E40" s="29"/>
      <c r="F40" s="29"/>
      <c r="G40" s="30"/>
    </row>
    <row r="41" spans="1:7" ht="17.25">
      <c r="A41" s="37" t="s">
        <v>54</v>
      </c>
      <c r="B41" s="37"/>
      <c r="C41" s="37"/>
      <c r="D41" s="37"/>
      <c r="E41" s="37"/>
      <c r="F41" s="37"/>
      <c r="G41" s="30">
        <f>4060.34+2088.13</f>
        <v>6148.47</v>
      </c>
    </row>
    <row r="42" spans="1:7" ht="17.25">
      <c r="A42" s="37" t="s">
        <v>55</v>
      </c>
      <c r="B42" s="37"/>
      <c r="C42" s="37"/>
      <c r="D42" s="37"/>
      <c r="E42" s="37"/>
      <c r="F42" s="37"/>
      <c r="G42" s="30"/>
    </row>
    <row r="43" spans="1:7" ht="17.25" hidden="1">
      <c r="A43" s="37" t="s">
        <v>56</v>
      </c>
      <c r="B43" s="37"/>
      <c r="C43" s="37"/>
      <c r="D43" s="37"/>
      <c r="E43" s="37"/>
      <c r="F43" s="37"/>
      <c r="G43" s="30"/>
    </row>
    <row r="44" spans="1:7" ht="17.25" hidden="1">
      <c r="A44" s="37" t="s">
        <v>57</v>
      </c>
      <c r="B44" s="37"/>
      <c r="C44" s="37"/>
      <c r="D44" s="37"/>
      <c r="E44" s="37"/>
      <c r="F44" s="37"/>
      <c r="G44" s="30"/>
    </row>
    <row r="45" spans="1:7" ht="17.25" hidden="1">
      <c r="A45" s="37" t="s">
        <v>58</v>
      </c>
      <c r="B45" s="37"/>
      <c r="C45" s="37"/>
      <c r="D45" s="37"/>
      <c r="E45" s="37"/>
      <c r="F45" s="37"/>
      <c r="G45" s="30"/>
    </row>
    <row r="46" spans="1:7" ht="16.5" hidden="1">
      <c r="A46" s="37" t="s">
        <v>59</v>
      </c>
      <c r="B46" s="37"/>
      <c r="C46" s="37"/>
      <c r="D46" s="37"/>
      <c r="E46" s="37"/>
      <c r="F46" s="37"/>
      <c r="G46" s="30"/>
    </row>
    <row r="47" spans="1:7" ht="17.25">
      <c r="A47" s="37" t="s">
        <v>60</v>
      </c>
      <c r="B47" s="37"/>
      <c r="C47" s="37"/>
      <c r="D47" s="37"/>
      <c r="E47" s="37"/>
      <c r="F47" s="37"/>
      <c r="G47" s="30">
        <f>689.89+1734.66</f>
        <v>2424.55</v>
      </c>
    </row>
    <row r="48" spans="1:7" ht="17.25">
      <c r="A48" s="37" t="s">
        <v>61</v>
      </c>
      <c r="B48" s="37"/>
      <c r="C48" s="37"/>
      <c r="D48" s="37"/>
      <c r="E48" s="37"/>
      <c r="F48" s="37"/>
      <c r="G48" s="30">
        <v>16380.36</v>
      </c>
    </row>
    <row r="49" spans="1:7" ht="17.25" hidden="1">
      <c r="A49" s="37" t="s">
        <v>62</v>
      </c>
      <c r="B49" s="37"/>
      <c r="C49" s="37"/>
      <c r="D49" s="37"/>
      <c r="E49" s="37"/>
      <c r="F49" s="37"/>
      <c r="G49" s="30"/>
    </row>
    <row r="50" spans="1:7" ht="17.25" hidden="1">
      <c r="A50" s="37" t="s">
        <v>63</v>
      </c>
      <c r="B50" s="37"/>
      <c r="C50" s="37"/>
      <c r="D50" s="37"/>
      <c r="E50" s="37"/>
      <c r="F50" s="37"/>
      <c r="G50" s="30"/>
    </row>
    <row r="51" spans="1:7" ht="17.25">
      <c r="A51" s="37" t="s">
        <v>64</v>
      </c>
      <c r="B51" s="37"/>
      <c r="C51" s="37"/>
      <c r="D51" s="37"/>
      <c r="E51" s="37"/>
      <c r="F51" s="37"/>
      <c r="G51" s="30">
        <v>13144.78</v>
      </c>
    </row>
    <row r="52" spans="1:7" ht="17.25">
      <c r="A52" s="37" t="s">
        <v>65</v>
      </c>
      <c r="B52" s="37"/>
      <c r="C52" s="37"/>
      <c r="D52" s="37"/>
      <c r="E52" s="37"/>
      <c r="F52" s="37"/>
      <c r="G52" s="30">
        <v>3446.24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41544.4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330082.93700727436</v>
      </c>
    </row>
    <row r="57" spans="1:7" ht="17.25">
      <c r="A57" s="29" t="s">
        <v>70</v>
      </c>
      <c r="B57" s="29"/>
      <c r="C57" s="29"/>
      <c r="D57" s="29"/>
      <c r="E57" s="29"/>
      <c r="F57" s="29"/>
      <c r="G57" s="36">
        <v>-1252.21</v>
      </c>
    </row>
    <row r="58" spans="1:7" ht="15.75" customHeight="1">
      <c r="A58" s="40" t="s">
        <v>128</v>
      </c>
      <c r="B58" s="40"/>
      <c r="C58" s="40"/>
      <c r="D58" s="40"/>
      <c r="E58" s="40"/>
      <c r="F58" s="40"/>
      <c r="G58" s="39">
        <f>B3*B4*4+B3*B5*2+B3*B6*5+B3*B7*1+G59</f>
        <v>309866.164</v>
      </c>
    </row>
    <row r="59" spans="1:7" ht="15.75">
      <c r="A59" s="41" t="s">
        <v>113</v>
      </c>
      <c r="B59" s="41"/>
      <c r="C59" s="41"/>
      <c r="D59" s="41"/>
      <c r="E59" s="41"/>
      <c r="F59" s="41"/>
      <c r="G59" s="36">
        <f>160*1*12+141.6*1*12+215.6*1*12+269*1*12</f>
        <v>9434.4</v>
      </c>
    </row>
    <row r="60" spans="1:7" ht="18" customHeight="1">
      <c r="A60" s="42" t="s">
        <v>73</v>
      </c>
      <c r="B60" s="42"/>
      <c r="C60" s="42"/>
      <c r="D60" s="42"/>
      <c r="E60" s="42"/>
      <c r="F60" s="42"/>
      <c r="G60" s="47">
        <v>10057.82</v>
      </c>
    </row>
    <row r="61" spans="1:7" ht="57" customHeight="1">
      <c r="A61" s="44" t="s">
        <v>114</v>
      </c>
      <c r="B61" s="44"/>
      <c r="C61" s="44"/>
      <c r="D61" s="44"/>
      <c r="E61" s="44"/>
      <c r="F61" s="44"/>
      <c r="G61" s="45">
        <f>G56-G58+G60-G57</f>
        <v>31526.80300727437</v>
      </c>
    </row>
    <row r="65" ht="15.7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G65"/>
  <sheetViews>
    <sheetView zoomScale="75" zoomScaleNormal="75" workbookViewId="0" topLeftCell="A1">
      <selection activeCell="G36" sqref="G36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4.7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129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2678.2</v>
      </c>
      <c r="F3" s="8" t="s">
        <v>5</v>
      </c>
      <c r="G3" s="11">
        <v>4</v>
      </c>
    </row>
    <row r="4" spans="1:7" ht="18.75">
      <c r="A4" s="12" t="s">
        <v>6</v>
      </c>
      <c r="B4" s="46">
        <v>11.39</v>
      </c>
      <c r="C4" s="1" t="s">
        <v>93</v>
      </c>
      <c r="F4" s="8" t="s">
        <v>8</v>
      </c>
      <c r="G4" s="9">
        <v>1971</v>
      </c>
    </row>
    <row r="5" spans="1:7" ht="18.75">
      <c r="A5" s="12" t="s">
        <v>6</v>
      </c>
      <c r="B5" s="46">
        <v>11.54</v>
      </c>
      <c r="C5" s="1" t="s">
        <v>94</v>
      </c>
      <c r="F5" s="8"/>
      <c r="G5" s="9"/>
    </row>
    <row r="6" spans="1:7" ht="18.75">
      <c r="A6" s="12" t="s">
        <v>6</v>
      </c>
      <c r="B6" s="46">
        <v>11.59</v>
      </c>
      <c r="C6" s="1" t="s">
        <v>10</v>
      </c>
      <c r="F6" s="8"/>
      <c r="G6" s="9"/>
    </row>
    <row r="7" spans="1:3" ht="18.75">
      <c r="A7" s="12" t="s">
        <v>6</v>
      </c>
      <c r="B7" s="46">
        <v>12.14</v>
      </c>
      <c r="C7" s="1" t="s">
        <v>95</v>
      </c>
    </row>
    <row r="8" spans="1:7" ht="18.75" hidden="1">
      <c r="A8" s="15" t="s">
        <v>12</v>
      </c>
      <c r="B8" s="16">
        <v>327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940</v>
      </c>
      <c r="C11" s="18">
        <v>2482</v>
      </c>
      <c r="D11" s="18">
        <v>640</v>
      </c>
      <c r="E11" s="18">
        <v>2482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537.6</v>
      </c>
      <c r="C13" s="21">
        <v>539.9</v>
      </c>
      <c r="D13" s="21">
        <f>B13+C13</f>
        <v>1077.5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60</v>
      </c>
      <c r="C15" s="25"/>
      <c r="D15" s="25">
        <v>60</v>
      </c>
      <c r="E15" s="26">
        <f>D15+C15+B15</f>
        <v>120</v>
      </c>
      <c r="F15" s="18"/>
      <c r="G15" s="17"/>
    </row>
    <row r="16" spans="1:7" ht="16.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6.5">
      <c r="A17" s="29" t="s">
        <v>30</v>
      </c>
      <c r="B17" s="29"/>
      <c r="C17" s="29"/>
      <c r="D17" s="29"/>
      <c r="E17" s="29"/>
      <c r="F17" s="29"/>
      <c r="G17" s="30">
        <f>B8*8.689*12</f>
        <v>34095.636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0">
        <f>B9*35.705*12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0">
        <f>B12*0.3613*12</f>
        <v>0</v>
      </c>
    </row>
    <row r="20" spans="1:7" ht="16.5">
      <c r="A20" s="29" t="s">
        <v>33</v>
      </c>
      <c r="B20" s="29"/>
      <c r="C20" s="29"/>
      <c r="D20" s="29"/>
      <c r="E20" s="29"/>
      <c r="F20" s="29"/>
      <c r="G20" s="30">
        <f>(B11*12.84/100*189)+(C11*9.63/100*113)+(D11*23.66/100*71)+(E11*1.77/100*12)</f>
        <v>61098.700600000004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18873.536852327885</v>
      </c>
    </row>
    <row r="22" spans="1:7" ht="16.5">
      <c r="A22" s="29" t="s">
        <v>35</v>
      </c>
      <c r="B22" s="29"/>
      <c r="C22" s="29"/>
      <c r="D22" s="29"/>
      <c r="E22" s="29"/>
      <c r="F22" s="29"/>
      <c r="G22" s="30">
        <f>D13*0.135*6</f>
        <v>872.7750000000001</v>
      </c>
    </row>
    <row r="23" spans="1:7" ht="16.5">
      <c r="A23" s="29" t="s">
        <v>36</v>
      </c>
      <c r="B23" s="29"/>
      <c r="C23" s="29"/>
      <c r="D23" s="29"/>
      <c r="E23" s="29"/>
      <c r="F23" s="29"/>
      <c r="G23" s="30">
        <f>114.94+3541.77+732.78+316.1+3965.51</f>
        <v>8671.1</v>
      </c>
    </row>
    <row r="24" spans="1:7" ht="16.5">
      <c r="A24" s="29" t="s">
        <v>37</v>
      </c>
      <c r="B24" s="29"/>
      <c r="C24" s="29"/>
      <c r="D24" s="29"/>
      <c r="E24" s="29"/>
      <c r="F24" s="29"/>
      <c r="G24" s="30">
        <f>B3*0.885*12</f>
        <v>28442.483999999997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6.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6.5">
      <c r="A28" s="29" t="s">
        <v>41</v>
      </c>
      <c r="B28" s="29"/>
      <c r="C28" s="29"/>
      <c r="D28" s="29"/>
      <c r="E28" s="29"/>
      <c r="F28" s="29"/>
      <c r="G28" s="30">
        <f>4224+3017.52+539.12</f>
        <v>7780.64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6.5">
      <c r="A32" s="29" t="s">
        <v>45</v>
      </c>
      <c r="B32" s="29"/>
      <c r="C32" s="29"/>
      <c r="D32" s="29"/>
      <c r="E32" s="29"/>
      <c r="F32" s="29"/>
      <c r="G32" s="30">
        <f>B3*1.81*6+B3*1.86*6</f>
        <v>58973.96399999999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565.2</v>
      </c>
    </row>
    <row r="34" spans="1:7" ht="16.5">
      <c r="A34" s="29" t="s">
        <v>47</v>
      </c>
      <c r="B34" s="29"/>
      <c r="C34" s="29"/>
      <c r="D34" s="29"/>
      <c r="E34" s="29"/>
      <c r="F34" s="29"/>
      <c r="G34" s="30">
        <f>B3*0.65*12</f>
        <v>20889.96</v>
      </c>
    </row>
    <row r="35" spans="1:7" ht="16.5">
      <c r="A35" s="29" t="s">
        <v>48</v>
      </c>
      <c r="B35" s="29"/>
      <c r="C35" s="29"/>
      <c r="D35" s="29"/>
      <c r="E35" s="29"/>
      <c r="F35" s="29"/>
      <c r="G35" s="30">
        <f>B3*0.82*12</f>
        <v>26353.487999999998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B3*0.95*12</f>
        <v>30531.48</v>
      </c>
    </row>
    <row r="37" spans="1:7" ht="16.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297148.96445232787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5.75" hidden="1">
      <c r="A39" s="29" t="s">
        <v>52</v>
      </c>
      <c r="B39" s="29"/>
      <c r="C39" s="29"/>
      <c r="D39" s="29"/>
      <c r="E39" s="29"/>
      <c r="F39" s="29"/>
      <c r="G39" s="30">
        <f>B3*2.96*12</f>
        <v>95129.66399999999</v>
      </c>
    </row>
    <row r="40" spans="1:7" ht="15.75">
      <c r="A40" s="29" t="s">
        <v>53</v>
      </c>
      <c r="B40" s="29"/>
      <c r="C40" s="29"/>
      <c r="D40" s="29"/>
      <c r="E40" s="29"/>
      <c r="F40" s="29"/>
      <c r="G40" s="36"/>
    </row>
    <row r="41" spans="1:7" ht="15.75" hidden="1">
      <c r="A41" s="37" t="s">
        <v>54</v>
      </c>
      <c r="B41" s="37"/>
      <c r="C41" s="37"/>
      <c r="D41" s="37"/>
      <c r="E41" s="37"/>
      <c r="F41" s="37"/>
      <c r="G41" s="36"/>
    </row>
    <row r="42" spans="1:7" ht="16.5">
      <c r="A42" s="37" t="s">
        <v>55</v>
      </c>
      <c r="B42" s="37"/>
      <c r="C42" s="37"/>
      <c r="D42" s="37"/>
      <c r="E42" s="37"/>
      <c r="F42" s="37"/>
      <c r="G42" s="36">
        <v>1616.42</v>
      </c>
    </row>
    <row r="43" spans="1:7" ht="16.5">
      <c r="A43" s="37" t="s">
        <v>56</v>
      </c>
      <c r="B43" s="37"/>
      <c r="C43" s="37"/>
      <c r="D43" s="37"/>
      <c r="E43" s="37"/>
      <c r="F43" s="37"/>
      <c r="G43" s="36"/>
    </row>
    <row r="44" spans="1:7" ht="17.25" hidden="1">
      <c r="A44" s="37" t="s">
        <v>57</v>
      </c>
      <c r="B44" s="37"/>
      <c r="C44" s="37"/>
      <c r="D44" s="37"/>
      <c r="E44" s="37"/>
      <c r="F44" s="37"/>
      <c r="G44" s="36"/>
    </row>
    <row r="45" spans="1:7" ht="17.25" hidden="1">
      <c r="A45" s="37" t="s">
        <v>58</v>
      </c>
      <c r="B45" s="37"/>
      <c r="C45" s="37"/>
      <c r="D45" s="37"/>
      <c r="E45" s="37"/>
      <c r="F45" s="37"/>
      <c r="G45" s="36"/>
    </row>
    <row r="46" spans="1:7" ht="16.5" hidden="1">
      <c r="A46" s="37" t="s">
        <v>59</v>
      </c>
      <c r="B46" s="37"/>
      <c r="C46" s="37"/>
      <c r="D46" s="37"/>
      <c r="E46" s="37"/>
      <c r="F46" s="37"/>
      <c r="G46" s="36"/>
    </row>
    <row r="47" spans="1:7" ht="16.5">
      <c r="A47" s="37" t="s">
        <v>60</v>
      </c>
      <c r="B47" s="37"/>
      <c r="C47" s="37"/>
      <c r="D47" s="37"/>
      <c r="E47" s="37"/>
      <c r="F47" s="37"/>
      <c r="G47" s="36">
        <f>776.25+42.08+1986.53</f>
        <v>2804.86</v>
      </c>
    </row>
    <row r="48" spans="1:7" ht="16.5">
      <c r="A48" s="37" t="s">
        <v>61</v>
      </c>
      <c r="B48" s="37"/>
      <c r="C48" s="37"/>
      <c r="D48" s="37"/>
      <c r="E48" s="37"/>
      <c r="F48" s="37"/>
      <c r="G48" s="36">
        <v>3780.08</v>
      </c>
    </row>
    <row r="49" spans="1:7" ht="16.5" hidden="1">
      <c r="A49" s="37" t="s">
        <v>62</v>
      </c>
      <c r="B49" s="37"/>
      <c r="C49" s="37"/>
      <c r="D49" s="37"/>
      <c r="E49" s="37"/>
      <c r="F49" s="37"/>
      <c r="G49" s="36"/>
    </row>
    <row r="50" spans="1:7" ht="16.5" hidden="1">
      <c r="A50" s="37" t="s">
        <v>63</v>
      </c>
      <c r="B50" s="37"/>
      <c r="C50" s="37"/>
      <c r="D50" s="37"/>
      <c r="E50" s="37"/>
      <c r="F50" s="37"/>
      <c r="G50" s="36"/>
    </row>
    <row r="51" spans="1:7" ht="16.5" hidden="1">
      <c r="A51" s="37" t="s">
        <v>64</v>
      </c>
      <c r="B51" s="37"/>
      <c r="C51" s="37"/>
      <c r="D51" s="37"/>
      <c r="E51" s="37"/>
      <c r="F51" s="37"/>
      <c r="G51" s="36"/>
    </row>
    <row r="52" spans="1:7" ht="16.5">
      <c r="A52" s="37" t="s">
        <v>65</v>
      </c>
      <c r="B52" s="37"/>
      <c r="C52" s="37"/>
      <c r="D52" s="37"/>
      <c r="E52" s="37"/>
      <c r="F52" s="37"/>
      <c r="G52" s="36">
        <v>19815.88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28017.24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325166.20445232786</v>
      </c>
    </row>
    <row r="57" spans="1:7" ht="15.75">
      <c r="A57" s="29" t="s">
        <v>70</v>
      </c>
      <c r="B57" s="29"/>
      <c r="C57" s="29"/>
      <c r="D57" s="29"/>
      <c r="E57" s="29"/>
      <c r="F57" s="29"/>
      <c r="G57" s="36">
        <v>0</v>
      </c>
    </row>
    <row r="58" spans="1:7" ht="18" customHeight="1">
      <c r="A58" s="40" t="s">
        <v>71</v>
      </c>
      <c r="B58" s="40"/>
      <c r="C58" s="40"/>
      <c r="D58" s="40"/>
      <c r="E58" s="40"/>
      <c r="F58" s="40"/>
      <c r="G58" s="39">
        <f>B3*B4*4+B3*B5*2+B3*B6*5+B3*B7*1+G59</f>
        <v>380981.086</v>
      </c>
    </row>
    <row r="59" spans="1:7" ht="18" customHeight="1">
      <c r="A59" s="41" t="s">
        <v>113</v>
      </c>
      <c r="B59" s="41"/>
      <c r="C59" s="41"/>
      <c r="D59" s="41"/>
      <c r="E59" s="41"/>
      <c r="F59" s="41"/>
      <c r="G59" s="36">
        <f>160*1*12+141.6*1*12+215.6*1*12+269*1*12</f>
        <v>9434.4</v>
      </c>
    </row>
    <row r="60" spans="1:7" ht="18" customHeight="1">
      <c r="A60" s="42" t="s">
        <v>73</v>
      </c>
      <c r="B60" s="42"/>
      <c r="C60" s="42"/>
      <c r="D60" s="42"/>
      <c r="E60" s="42"/>
      <c r="F60" s="42"/>
      <c r="G60" s="43">
        <v>45317.08</v>
      </c>
    </row>
    <row r="61" spans="1:7" ht="64.5" customHeight="1">
      <c r="A61" s="44" t="s">
        <v>114</v>
      </c>
      <c r="B61" s="44"/>
      <c r="C61" s="44"/>
      <c r="D61" s="44"/>
      <c r="E61" s="44"/>
      <c r="F61" s="44"/>
      <c r="G61" s="45">
        <f>G56-G58+G60-G57</f>
        <v>-10497.801547672148</v>
      </c>
    </row>
    <row r="65" ht="15.7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G65"/>
  <sheetViews>
    <sheetView zoomScale="75" zoomScaleNormal="75" workbookViewId="0" topLeftCell="A1">
      <selection activeCell="G58" sqref="G58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4" width="9.140625" style="1" customWidth="1"/>
    <col min="5" max="5" width="8.28125" style="1" customWidth="1"/>
    <col min="6" max="6" width="21.8515625" style="1" customWidth="1"/>
    <col min="7" max="7" width="14.2812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64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130</v>
      </c>
      <c r="C2" s="7"/>
      <c r="D2" s="7"/>
      <c r="E2" s="7"/>
      <c r="F2" s="8" t="s">
        <v>3</v>
      </c>
      <c r="G2" s="9">
        <v>5</v>
      </c>
    </row>
    <row r="3" spans="1:7" ht="21.75" customHeight="1">
      <c r="A3" s="6" t="s">
        <v>4</v>
      </c>
      <c r="B3" s="10">
        <v>3466.5</v>
      </c>
      <c r="F3" s="8" t="s">
        <v>5</v>
      </c>
      <c r="G3" s="11">
        <v>5</v>
      </c>
    </row>
    <row r="4" spans="1:7" ht="18.75">
      <c r="A4" s="12" t="s">
        <v>6</v>
      </c>
      <c r="B4" s="46">
        <v>9.59</v>
      </c>
      <c r="C4" s="1" t="s">
        <v>93</v>
      </c>
      <c r="F4" s="8" t="s">
        <v>8</v>
      </c>
      <c r="G4" s="9">
        <v>1971</v>
      </c>
    </row>
    <row r="5" spans="1:7" ht="18.75">
      <c r="A5" s="12" t="s">
        <v>6</v>
      </c>
      <c r="B5" s="46">
        <v>9.74</v>
      </c>
      <c r="C5" s="1" t="s">
        <v>94</v>
      </c>
      <c r="F5" s="8"/>
      <c r="G5" s="9"/>
    </row>
    <row r="6" spans="1:7" ht="18.75">
      <c r="A6" s="12" t="s">
        <v>6</v>
      </c>
      <c r="B6" s="46">
        <v>9.79</v>
      </c>
      <c r="C6" s="1" t="s">
        <v>10</v>
      </c>
      <c r="F6" s="8"/>
      <c r="G6" s="9"/>
    </row>
    <row r="7" spans="1:3" ht="18.75">
      <c r="A7" s="12" t="s">
        <v>6</v>
      </c>
      <c r="B7" s="46">
        <v>10.21</v>
      </c>
      <c r="C7" s="1" t="s">
        <v>95</v>
      </c>
    </row>
    <row r="8" spans="1:7" ht="18.75" hidden="1">
      <c r="A8" s="15" t="s">
        <v>12</v>
      </c>
      <c r="B8" s="16">
        <v>345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35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896</v>
      </c>
      <c r="C11" s="18">
        <v>3040</v>
      </c>
      <c r="D11" s="18">
        <v>794</v>
      </c>
      <c r="E11" s="18">
        <v>3142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944.7</v>
      </c>
      <c r="C13" s="21">
        <v>693.4</v>
      </c>
      <c r="D13" s="21">
        <f>B13+C13</f>
        <v>1638.1</v>
      </c>
      <c r="E13" s="17"/>
      <c r="F13" s="17"/>
      <c r="G13" s="17"/>
    </row>
    <row r="14" spans="1:7" ht="48.75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71</v>
      </c>
      <c r="C15" s="25"/>
      <c r="D15" s="25">
        <v>71</v>
      </c>
      <c r="E15" s="26">
        <f>D15+C15+B15</f>
        <v>142</v>
      </c>
      <c r="F15" s="18"/>
      <c r="G15" s="17"/>
    </row>
    <row r="16" spans="1:7" ht="16.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6.5">
      <c r="A17" s="29" t="s">
        <v>30</v>
      </c>
      <c r="B17" s="29"/>
      <c r="C17" s="29"/>
      <c r="D17" s="29"/>
      <c r="E17" s="29"/>
      <c r="F17" s="29"/>
      <c r="G17" s="30">
        <f>B8*7.012*12</f>
        <v>29029.68</v>
      </c>
    </row>
    <row r="18" spans="1:7" ht="16.5" hidden="1">
      <c r="A18" s="29" t="s">
        <v>31</v>
      </c>
      <c r="B18" s="29"/>
      <c r="C18" s="29"/>
      <c r="D18" s="29"/>
      <c r="E18" s="29"/>
      <c r="F18" s="29"/>
      <c r="G18" s="30">
        <f>B9*35.705*12</f>
        <v>0</v>
      </c>
    </row>
    <row r="19" spans="1:7" ht="16.5" customHeight="1" hidden="1">
      <c r="A19" s="29" t="s">
        <v>85</v>
      </c>
      <c r="B19" s="29"/>
      <c r="C19" s="29"/>
      <c r="D19" s="29"/>
      <c r="E19" s="29"/>
      <c r="F19" s="29"/>
      <c r="G19" s="30">
        <f>B12*0.3613*12</f>
        <v>0</v>
      </c>
    </row>
    <row r="20" spans="1:7" ht="16.5">
      <c r="A20" s="29" t="s">
        <v>33</v>
      </c>
      <c r="B20" s="29"/>
      <c r="C20" s="29"/>
      <c r="D20" s="29"/>
      <c r="E20" s="29"/>
      <c r="F20" s="29"/>
      <c r="G20" s="30">
        <f>(B11*9.46/100*189)+(C11*7.09/100*113)+(D11*23.66/100*71)+(E11*1.77/100*12)</f>
        <v>54380.9596</v>
      </c>
    </row>
    <row r="21" spans="1:7" ht="18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24428.763908070578</v>
      </c>
    </row>
    <row r="22" spans="1:7" ht="16.5">
      <c r="A22" s="29" t="s">
        <v>35</v>
      </c>
      <c r="B22" s="29"/>
      <c r="C22" s="29"/>
      <c r="D22" s="29"/>
      <c r="E22" s="29"/>
      <c r="F22" s="29"/>
      <c r="G22" s="30">
        <f>D13*0.135*6</f>
        <v>1326.8609999999999</v>
      </c>
    </row>
    <row r="23" spans="1:7" ht="16.5">
      <c r="A23" s="29" t="s">
        <v>36</v>
      </c>
      <c r="B23" s="29"/>
      <c r="C23" s="29"/>
      <c r="D23" s="29"/>
      <c r="E23" s="29"/>
      <c r="F23" s="29"/>
      <c r="G23" s="30">
        <f>114.94+4335.62+915.98+395.12+4956.89</f>
        <v>10718.55</v>
      </c>
    </row>
    <row r="24" spans="1:7" ht="16.5">
      <c r="A24" s="29" t="s">
        <v>37</v>
      </c>
      <c r="B24" s="29"/>
      <c r="C24" s="29"/>
      <c r="D24" s="29"/>
      <c r="E24" s="29"/>
      <c r="F24" s="29"/>
      <c r="G24" s="30">
        <f>B3*0.885*12</f>
        <v>36814.229999999996</v>
      </c>
    </row>
    <row r="25" spans="1:7" ht="16.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6.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6.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6.5">
      <c r="A28" s="29" t="s">
        <v>41</v>
      </c>
      <c r="B28" s="29"/>
      <c r="C28" s="29"/>
      <c r="D28" s="29"/>
      <c r="E28" s="29"/>
      <c r="F28" s="29"/>
      <c r="G28" s="30">
        <f>4224+3017.52+269.56</f>
        <v>7511.080000000001</v>
      </c>
    </row>
    <row r="29" spans="1:7" ht="16.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6.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6.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6.5">
      <c r="A32" s="29" t="s">
        <v>45</v>
      </c>
      <c r="B32" s="29"/>
      <c r="C32" s="29"/>
      <c r="D32" s="29"/>
      <c r="E32" s="29"/>
      <c r="F32" s="29"/>
      <c r="G32" s="30">
        <f>B3*1.81*6+B3*1.86*6</f>
        <v>76332.33</v>
      </c>
    </row>
    <row r="33" spans="1:7" ht="18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668.8199999999999</v>
      </c>
    </row>
    <row r="34" spans="1:7" ht="16.5">
      <c r="A34" s="29" t="s">
        <v>47</v>
      </c>
      <c r="B34" s="29"/>
      <c r="C34" s="29"/>
      <c r="D34" s="29"/>
      <c r="E34" s="29"/>
      <c r="F34" s="29"/>
      <c r="G34" s="30">
        <f>B3*0.65*12</f>
        <v>27038.699999999997</v>
      </c>
    </row>
    <row r="35" spans="1:7" ht="16.5">
      <c r="A35" s="29" t="s">
        <v>48</v>
      </c>
      <c r="B35" s="29"/>
      <c r="C35" s="29"/>
      <c r="D35" s="29"/>
      <c r="E35" s="29"/>
      <c r="F35" s="29"/>
      <c r="G35" s="30">
        <f>B3*0.82*12</f>
        <v>34110.36</v>
      </c>
    </row>
    <row r="36" spans="1:7" ht="16.5" customHeight="1">
      <c r="A36" s="29" t="s">
        <v>49</v>
      </c>
      <c r="B36" s="29"/>
      <c r="C36" s="29"/>
      <c r="D36" s="29"/>
      <c r="E36" s="29"/>
      <c r="F36" s="29"/>
      <c r="G36" s="30">
        <f>B3*0.9*12</f>
        <v>37438.2</v>
      </c>
    </row>
    <row r="37" spans="1:7" ht="16.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339798.53450807056</v>
      </c>
    </row>
    <row r="38" spans="1:7" ht="18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6.5" hidden="1">
      <c r="A39" s="29" t="s">
        <v>52</v>
      </c>
      <c r="B39" s="29"/>
      <c r="C39" s="29"/>
      <c r="D39" s="29"/>
      <c r="E39" s="29"/>
      <c r="F39" s="29"/>
      <c r="G39" s="30">
        <f>B3*2.96*12</f>
        <v>123130.08</v>
      </c>
    </row>
    <row r="40" spans="1:7" ht="16.5">
      <c r="A40" s="29" t="s">
        <v>53</v>
      </c>
      <c r="B40" s="29"/>
      <c r="C40" s="29"/>
      <c r="D40" s="29"/>
      <c r="E40" s="29"/>
      <c r="F40" s="29"/>
      <c r="G40" s="30"/>
    </row>
    <row r="41" spans="1:7" ht="16.5">
      <c r="A41" s="37" t="s">
        <v>54</v>
      </c>
      <c r="B41" s="37"/>
      <c r="C41" s="37"/>
      <c r="D41" s="37"/>
      <c r="E41" s="37"/>
      <c r="F41" s="37"/>
      <c r="G41" s="30">
        <v>2954.13</v>
      </c>
    </row>
    <row r="42" spans="1:7" ht="16.5">
      <c r="A42" s="37" t="s">
        <v>55</v>
      </c>
      <c r="B42" s="37"/>
      <c r="C42" s="37"/>
      <c r="D42" s="37"/>
      <c r="E42" s="37"/>
      <c r="F42" s="37"/>
      <c r="G42" s="30">
        <f>3114.89+632.82+1593.99</f>
        <v>5341.7</v>
      </c>
    </row>
    <row r="43" spans="1:7" ht="16.5">
      <c r="A43" s="37" t="s">
        <v>56</v>
      </c>
      <c r="B43" s="37"/>
      <c r="C43" s="37"/>
      <c r="D43" s="37"/>
      <c r="E43" s="37"/>
      <c r="F43" s="37"/>
      <c r="G43" s="30"/>
    </row>
    <row r="44" spans="1:7" ht="16.5">
      <c r="A44" s="37" t="s">
        <v>57</v>
      </c>
      <c r="B44" s="37"/>
      <c r="C44" s="37"/>
      <c r="D44" s="37"/>
      <c r="E44" s="37"/>
      <c r="F44" s="37"/>
      <c r="G44" s="30">
        <v>3869.64</v>
      </c>
    </row>
    <row r="45" spans="1:7" ht="16.5" hidden="1">
      <c r="A45" s="37" t="s">
        <v>58</v>
      </c>
      <c r="B45" s="37"/>
      <c r="C45" s="37"/>
      <c r="D45" s="37"/>
      <c r="E45" s="37"/>
      <c r="F45" s="37"/>
      <c r="G45" s="30"/>
    </row>
    <row r="46" spans="1:7" ht="16.5" hidden="1">
      <c r="A46" s="37" t="s">
        <v>131</v>
      </c>
      <c r="B46" s="37"/>
      <c r="C46" s="37"/>
      <c r="D46" s="37"/>
      <c r="E46" s="37"/>
      <c r="F46" s="37"/>
      <c r="G46" s="30"/>
    </row>
    <row r="47" spans="1:7" ht="16.5">
      <c r="A47" s="37" t="s">
        <v>60</v>
      </c>
      <c r="B47" s="37"/>
      <c r="C47" s="37"/>
      <c r="D47" s="37"/>
      <c r="E47" s="37"/>
      <c r="F47" s="37"/>
      <c r="G47" s="30">
        <f>2206.23+42.08+1986.53+42.08</f>
        <v>4276.92</v>
      </c>
    </row>
    <row r="48" spans="1:7" ht="16.5">
      <c r="A48" s="37" t="s">
        <v>61</v>
      </c>
      <c r="B48" s="37"/>
      <c r="C48" s="37"/>
      <c r="D48" s="37"/>
      <c r="E48" s="37"/>
      <c r="F48" s="37"/>
      <c r="G48" s="30">
        <f>709.3+11804.51+10920.24+2520.06</f>
        <v>25954.11</v>
      </c>
    </row>
    <row r="49" spans="1:7" ht="16.5" hidden="1">
      <c r="A49" s="37" t="s">
        <v>62</v>
      </c>
      <c r="B49" s="37"/>
      <c r="C49" s="37"/>
      <c r="D49" s="37"/>
      <c r="E49" s="37"/>
      <c r="F49" s="37"/>
      <c r="G49" s="30"/>
    </row>
    <row r="50" spans="1:7" ht="16.5">
      <c r="A50" s="37" t="s">
        <v>132</v>
      </c>
      <c r="B50" s="37"/>
      <c r="C50" s="37"/>
      <c r="D50" s="37"/>
      <c r="E50" s="37"/>
      <c r="F50" s="37"/>
      <c r="G50" s="30">
        <f>56.71+56.71</f>
        <v>113.42</v>
      </c>
    </row>
    <row r="51" spans="1:7" ht="16.5">
      <c r="A51" s="37" t="s">
        <v>64</v>
      </c>
      <c r="B51" s="37"/>
      <c r="C51" s="37"/>
      <c r="D51" s="37"/>
      <c r="E51" s="37"/>
      <c r="F51" s="37"/>
      <c r="G51" s="30">
        <f>54904.68+138221.85</f>
        <v>193126.53</v>
      </c>
    </row>
    <row r="52" spans="1:7" ht="16.5">
      <c r="A52" s="37" t="s">
        <v>65</v>
      </c>
      <c r="B52" s="37"/>
      <c r="C52" s="37"/>
      <c r="D52" s="37"/>
      <c r="E52" s="37"/>
      <c r="F52" s="37"/>
      <c r="G52" s="30">
        <v>18523.54</v>
      </c>
    </row>
    <row r="53" spans="1:7" ht="16.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6.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8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254159.99000000002</v>
      </c>
    </row>
    <row r="56" spans="1:7" ht="18.75" customHeight="1">
      <c r="A56" s="38" t="s">
        <v>69</v>
      </c>
      <c r="B56" s="38"/>
      <c r="C56" s="38"/>
      <c r="D56" s="38"/>
      <c r="E56" s="38"/>
      <c r="F56" s="38"/>
      <c r="G56" s="34">
        <f>G37+G55</f>
        <v>593958.5245080705</v>
      </c>
    </row>
    <row r="57" spans="1:7" ht="16.5">
      <c r="A57" s="29" t="s">
        <v>70</v>
      </c>
      <c r="B57" s="29"/>
      <c r="C57" s="29"/>
      <c r="D57" s="29"/>
      <c r="E57" s="29"/>
      <c r="F57" s="29"/>
      <c r="G57" s="30">
        <v>-464.79</v>
      </c>
    </row>
    <row r="58" spans="1:7" ht="16.5" customHeight="1">
      <c r="A58" s="40" t="s">
        <v>71</v>
      </c>
      <c r="B58" s="40"/>
      <c r="C58" s="40"/>
      <c r="D58" s="40"/>
      <c r="E58" s="40"/>
      <c r="F58" s="40"/>
      <c r="G58" s="34">
        <f>B3*B4*4+B3*B5*2+B3*B6*5+B3*B7*1+G59</f>
        <v>420573.3</v>
      </c>
    </row>
    <row r="59" spans="1:7" ht="16.5">
      <c r="A59" s="41" t="s">
        <v>113</v>
      </c>
      <c r="B59" s="41"/>
      <c r="C59" s="41"/>
      <c r="D59" s="41"/>
      <c r="E59" s="41"/>
      <c r="F59" s="41"/>
      <c r="G59" s="30">
        <f>1*160*12+180*1*12+141.6*1*12+215.6*1*12+141.6*2*12+269*1*12</f>
        <v>14992.8</v>
      </c>
    </row>
    <row r="60" spans="1:7" ht="16.5">
      <c r="A60" s="42" t="s">
        <v>73</v>
      </c>
      <c r="B60" s="42"/>
      <c r="C60" s="42"/>
      <c r="D60" s="42"/>
      <c r="E60" s="42"/>
      <c r="F60" s="42"/>
      <c r="G60" s="47">
        <v>22250.19</v>
      </c>
    </row>
    <row r="61" spans="1:7" ht="48.75" customHeight="1">
      <c r="A61" s="44" t="s">
        <v>110</v>
      </c>
      <c r="B61" s="44"/>
      <c r="C61" s="44"/>
      <c r="D61" s="44"/>
      <c r="E61" s="44"/>
      <c r="F61" s="44"/>
      <c r="G61" s="48">
        <f>G56-G58+G60-G57</f>
        <v>196100.20450807057</v>
      </c>
    </row>
    <row r="62" ht="16.5"/>
    <row r="63" ht="16.5"/>
    <row r="64" ht="16.5"/>
    <row r="65" ht="16.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G65"/>
  <sheetViews>
    <sheetView zoomScale="75" zoomScaleNormal="75" workbookViewId="0" topLeftCell="A1">
      <selection activeCell="G57" sqref="G57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47.2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133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2701.1</v>
      </c>
      <c r="F3" s="8" t="s">
        <v>5</v>
      </c>
      <c r="G3" s="11">
        <v>4</v>
      </c>
    </row>
    <row r="4" spans="1:7" ht="18.75">
      <c r="A4" s="12" t="s">
        <v>6</v>
      </c>
      <c r="B4" s="46">
        <v>11.39</v>
      </c>
      <c r="C4" s="1" t="s">
        <v>93</v>
      </c>
      <c r="F4" s="8" t="s">
        <v>8</v>
      </c>
      <c r="G4" s="9">
        <v>1976</v>
      </c>
    </row>
    <row r="5" spans="1:7" ht="18.75">
      <c r="A5" s="12" t="s">
        <v>6</v>
      </c>
      <c r="B5" s="46">
        <v>11.54</v>
      </c>
      <c r="C5" s="1" t="s">
        <v>94</v>
      </c>
      <c r="F5" s="8"/>
      <c r="G5" s="9"/>
    </row>
    <row r="6" spans="1:7" ht="18.75">
      <c r="A6" s="12" t="s">
        <v>6</v>
      </c>
      <c r="B6" s="46">
        <v>11.59</v>
      </c>
      <c r="C6" s="1" t="s">
        <v>10</v>
      </c>
      <c r="F6" s="8"/>
      <c r="G6" s="9"/>
    </row>
    <row r="7" spans="1:3" ht="18.75">
      <c r="A7" s="12" t="s">
        <v>6</v>
      </c>
      <c r="B7" s="46">
        <v>12.14</v>
      </c>
      <c r="C7" s="1" t="s">
        <v>95</v>
      </c>
    </row>
    <row r="8" spans="1:7" ht="18.75" hidden="1">
      <c r="A8" s="15" t="s">
        <v>12</v>
      </c>
      <c r="B8" s="16">
        <v>388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1070</v>
      </c>
      <c r="C11" s="18">
        <v>1621</v>
      </c>
      <c r="D11" s="18">
        <v>938</v>
      </c>
      <c r="E11" s="18">
        <v>1621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539.1</v>
      </c>
      <c r="C13" s="21">
        <v>540.1</v>
      </c>
      <c r="D13" s="21">
        <f>B13+C13</f>
        <v>1079.2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60</v>
      </c>
      <c r="C15" s="25"/>
      <c r="D15" s="25">
        <v>60</v>
      </c>
      <c r="E15" s="26">
        <f>D15+C15+B15</f>
        <v>120</v>
      </c>
      <c r="F15" s="18"/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0">
        <f>B8*8.689*12</f>
        <v>40455.984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0">
        <f>B9*35.705*12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0">
        <f>B12*0.3613*12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0">
        <f>(B11*12.84/100*189)+(C11*9.63/100*113)+(D11*32.11/100*71)+(E11*2.41/100*12)</f>
        <v>65459.3029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19034.915387880985</v>
      </c>
    </row>
    <row r="22" spans="1:7" ht="15.75">
      <c r="A22" s="29" t="s">
        <v>35</v>
      </c>
      <c r="B22" s="29"/>
      <c r="C22" s="29"/>
      <c r="D22" s="29"/>
      <c r="E22" s="29"/>
      <c r="F22" s="29"/>
      <c r="G22" s="30">
        <f>D13*0.135*6</f>
        <v>874.152</v>
      </c>
    </row>
    <row r="23" spans="1:7" ht="16.5">
      <c r="A23" s="29" t="s">
        <v>36</v>
      </c>
      <c r="B23" s="29"/>
      <c r="C23" s="29"/>
      <c r="D23" s="29"/>
      <c r="E23" s="29"/>
      <c r="F23" s="29"/>
      <c r="G23" s="30">
        <f>114.94+3663.9+732.78+316.1</f>
        <v>4827.72</v>
      </c>
    </row>
    <row r="24" spans="1:7" ht="15.75">
      <c r="A24" s="29" t="s">
        <v>37</v>
      </c>
      <c r="B24" s="29"/>
      <c r="C24" s="29"/>
      <c r="D24" s="29"/>
      <c r="E24" s="29"/>
      <c r="F24" s="29"/>
      <c r="G24" s="30">
        <f>B3*0.885*12</f>
        <v>28685.682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5.75">
      <c r="A28" s="29" t="s">
        <v>41</v>
      </c>
      <c r="B28" s="29"/>
      <c r="C28" s="29"/>
      <c r="D28" s="29"/>
      <c r="E28" s="29"/>
      <c r="F28" s="29"/>
      <c r="G28" s="30">
        <f>4224+3017.52+269.56</f>
        <v>7511.080000000001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0">
        <f>B3*1.81*6+B3*1.86*6</f>
        <v>59478.221999999994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565.2</v>
      </c>
    </row>
    <row r="34" spans="1:7" ht="15.75">
      <c r="A34" s="29" t="s">
        <v>47</v>
      </c>
      <c r="B34" s="29"/>
      <c r="C34" s="29"/>
      <c r="D34" s="29"/>
      <c r="E34" s="29"/>
      <c r="F34" s="29"/>
      <c r="G34" s="30">
        <f>B3*0.65*12</f>
        <v>21068.579999999998</v>
      </c>
    </row>
    <row r="35" spans="1:7" ht="15.75">
      <c r="A35" s="29" t="s">
        <v>48</v>
      </c>
      <c r="B35" s="29"/>
      <c r="C35" s="29"/>
      <c r="D35" s="29"/>
      <c r="E35" s="29"/>
      <c r="F35" s="29"/>
      <c r="G35" s="30">
        <f>B3*0.82*12</f>
        <v>26578.824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B3*0.95*12</f>
        <v>30792.54</v>
      </c>
    </row>
    <row r="37" spans="1:7" ht="15.7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305332.20228788094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5.75" hidden="1">
      <c r="A39" s="29" t="s">
        <v>52</v>
      </c>
      <c r="B39" s="29"/>
      <c r="C39" s="29"/>
      <c r="D39" s="29"/>
      <c r="E39" s="29"/>
      <c r="F39" s="29"/>
      <c r="G39" s="30">
        <f>B3*2.96*12</f>
        <v>95943.07199999999</v>
      </c>
    </row>
    <row r="40" spans="1:7" ht="15.75">
      <c r="A40" s="29" t="s">
        <v>53</v>
      </c>
      <c r="B40" s="29"/>
      <c r="C40" s="29"/>
      <c r="D40" s="29"/>
      <c r="E40" s="29"/>
      <c r="F40" s="29"/>
      <c r="G40" s="30"/>
    </row>
    <row r="41" spans="1:7" ht="15.75">
      <c r="A41" s="37" t="s">
        <v>54</v>
      </c>
      <c r="B41" s="37"/>
      <c r="C41" s="37"/>
      <c r="D41" s="37"/>
      <c r="E41" s="37"/>
      <c r="F41" s="37"/>
      <c r="G41" s="30"/>
    </row>
    <row r="42" spans="1:7" ht="17.25">
      <c r="A42" s="37" t="s">
        <v>55</v>
      </c>
      <c r="B42" s="37"/>
      <c r="C42" s="37"/>
      <c r="D42" s="37"/>
      <c r="E42" s="37"/>
      <c r="F42" s="37"/>
      <c r="G42" s="30"/>
    </row>
    <row r="43" spans="1:7" ht="17.25">
      <c r="A43" s="37" t="s">
        <v>56</v>
      </c>
      <c r="B43" s="37"/>
      <c r="C43" s="37"/>
      <c r="D43" s="37"/>
      <c r="E43" s="37"/>
      <c r="F43" s="37"/>
      <c r="G43" s="30">
        <v>2204.16</v>
      </c>
    </row>
    <row r="44" spans="1:7" ht="17.25" hidden="1">
      <c r="A44" s="37" t="s">
        <v>57</v>
      </c>
      <c r="B44" s="37"/>
      <c r="C44" s="37"/>
      <c r="D44" s="37"/>
      <c r="E44" s="37"/>
      <c r="F44" s="37"/>
      <c r="G44" s="30"/>
    </row>
    <row r="45" spans="1:7" ht="17.25" hidden="1">
      <c r="A45" s="37" t="s">
        <v>58</v>
      </c>
      <c r="B45" s="37"/>
      <c r="C45" s="37"/>
      <c r="D45" s="37"/>
      <c r="E45" s="37"/>
      <c r="F45" s="37"/>
      <c r="G45" s="30"/>
    </row>
    <row r="46" spans="1:7" ht="16.5">
      <c r="A46" s="37" t="s">
        <v>59</v>
      </c>
      <c r="B46" s="37"/>
      <c r="C46" s="37"/>
      <c r="D46" s="37"/>
      <c r="E46" s="37"/>
      <c r="F46" s="37"/>
      <c r="G46" s="30"/>
    </row>
    <row r="47" spans="1:7" ht="16.5">
      <c r="A47" s="37" t="s">
        <v>60</v>
      </c>
      <c r="B47" s="37"/>
      <c r="C47" s="37"/>
      <c r="D47" s="37"/>
      <c r="E47" s="37"/>
      <c r="F47" s="37"/>
      <c r="G47" s="30">
        <f>670.64+42.08+42.08+42.08</f>
        <v>796.8800000000001</v>
      </c>
    </row>
    <row r="48" spans="1:7" ht="17.25">
      <c r="A48" s="37" t="s">
        <v>61</v>
      </c>
      <c r="B48" s="37"/>
      <c r="C48" s="37"/>
      <c r="D48" s="37"/>
      <c r="E48" s="37"/>
      <c r="F48" s="37"/>
      <c r="G48" s="30">
        <f>966.04+1572.43</f>
        <v>2538.4700000000003</v>
      </c>
    </row>
    <row r="49" spans="1:7" ht="17.25" hidden="1">
      <c r="A49" s="37" t="s">
        <v>62</v>
      </c>
      <c r="B49" s="37"/>
      <c r="C49" s="37"/>
      <c r="D49" s="37"/>
      <c r="E49" s="37"/>
      <c r="F49" s="37"/>
      <c r="G49" s="30"/>
    </row>
    <row r="50" spans="1:7" ht="17.25" hidden="1">
      <c r="A50" s="37" t="s">
        <v>63</v>
      </c>
      <c r="B50" s="37"/>
      <c r="C50" s="37"/>
      <c r="D50" s="37"/>
      <c r="E50" s="37"/>
      <c r="F50" s="37"/>
      <c r="G50" s="30"/>
    </row>
    <row r="51" spans="1:7" ht="17.25" hidden="1">
      <c r="A51" s="37" t="s">
        <v>64</v>
      </c>
      <c r="B51" s="37"/>
      <c r="C51" s="37"/>
      <c r="D51" s="37"/>
      <c r="E51" s="37"/>
      <c r="F51" s="37"/>
      <c r="G51" s="30"/>
    </row>
    <row r="52" spans="1:7" ht="17.25">
      <c r="A52" s="37" t="s">
        <v>65</v>
      </c>
      <c r="B52" s="37"/>
      <c r="C52" s="37"/>
      <c r="D52" s="37"/>
      <c r="E52" s="37"/>
      <c r="F52" s="37"/>
      <c r="G52" s="30">
        <v>40493.32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46032.83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4">
        <f>G37+G55</f>
        <v>351365.03228788095</v>
      </c>
    </row>
    <row r="57" spans="1:7" ht="16.5">
      <c r="A57" s="29" t="s">
        <v>70</v>
      </c>
      <c r="B57" s="29"/>
      <c r="C57" s="29"/>
      <c r="D57" s="29"/>
      <c r="E57" s="29"/>
      <c r="F57" s="29"/>
      <c r="G57" s="30">
        <f>-583.75-481.58-1634.52</f>
        <v>-2699.85</v>
      </c>
    </row>
    <row r="58" spans="1:7" ht="15.75" customHeight="1">
      <c r="A58" s="40" t="s">
        <v>71</v>
      </c>
      <c r="B58" s="40"/>
      <c r="C58" s="40"/>
      <c r="D58" s="40"/>
      <c r="E58" s="40"/>
      <c r="F58" s="40"/>
      <c r="G58" s="34">
        <f>B3*B4*4+B3*B5*2+B3*B6*5+B3*B7*1+G59</f>
        <v>384158.003</v>
      </c>
    </row>
    <row r="59" spans="1:7" ht="16.5">
      <c r="A59" s="41" t="s">
        <v>113</v>
      </c>
      <c r="B59" s="41"/>
      <c r="C59" s="41"/>
      <c r="D59" s="41"/>
      <c r="E59" s="41"/>
      <c r="F59" s="41"/>
      <c r="G59" s="34">
        <f>160*1*12+141.6*1*12+215.6*1*12+269*1*12</f>
        <v>9434.4</v>
      </c>
    </row>
    <row r="60" spans="1:7" ht="15.75" customHeight="1">
      <c r="A60" s="42" t="s">
        <v>73</v>
      </c>
      <c r="B60" s="42"/>
      <c r="C60" s="42"/>
      <c r="D60" s="42"/>
      <c r="E60" s="42"/>
      <c r="F60" s="42"/>
      <c r="G60" s="47">
        <v>26644.89</v>
      </c>
    </row>
    <row r="61" spans="1:7" ht="59.25" customHeight="1">
      <c r="A61" s="44" t="s">
        <v>114</v>
      </c>
      <c r="B61" s="44"/>
      <c r="C61" s="44"/>
      <c r="D61" s="44"/>
      <c r="E61" s="44"/>
      <c r="F61" s="44"/>
      <c r="G61" s="48">
        <f>G56-G58+G60-G57</f>
        <v>-3448.230712119074</v>
      </c>
    </row>
    <row r="65" ht="15.7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298611111111111" right="0" top="0.3701388888888889" bottom="0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G65"/>
  <sheetViews>
    <sheetView tabSelected="1" zoomScale="75" zoomScaleNormal="75" workbookViewId="0" topLeftCell="A19">
      <selection activeCell="G20" sqref="G20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64.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134</v>
      </c>
      <c r="C2" s="7"/>
      <c r="D2" s="7"/>
      <c r="E2" s="7"/>
      <c r="F2" s="8" t="s">
        <v>3</v>
      </c>
      <c r="G2" s="9">
        <v>9</v>
      </c>
    </row>
    <row r="3" spans="1:7" ht="18.75">
      <c r="A3" s="6" t="s">
        <v>4</v>
      </c>
      <c r="B3" s="10">
        <v>3872.8</v>
      </c>
      <c r="F3" s="8" t="s">
        <v>5</v>
      </c>
      <c r="G3" s="11">
        <v>2</v>
      </c>
    </row>
    <row r="4" spans="1:7" ht="18.75">
      <c r="A4" s="12" t="s">
        <v>6</v>
      </c>
      <c r="B4" s="46">
        <v>14.53</v>
      </c>
      <c r="C4" s="1" t="s">
        <v>93</v>
      </c>
      <c r="F4" s="8" t="s">
        <v>8</v>
      </c>
      <c r="G4" s="9">
        <v>1977</v>
      </c>
    </row>
    <row r="5" spans="1:7" ht="18.75">
      <c r="A5" s="12" t="s">
        <v>6</v>
      </c>
      <c r="B5" s="46">
        <v>14.68</v>
      </c>
      <c r="C5" s="1" t="s">
        <v>94</v>
      </c>
      <c r="F5" s="8"/>
      <c r="G5" s="9"/>
    </row>
    <row r="6" spans="1:7" ht="18.75">
      <c r="A6" s="12" t="s">
        <v>6</v>
      </c>
      <c r="B6" s="46">
        <v>14.73</v>
      </c>
      <c r="C6" s="1" t="s">
        <v>10</v>
      </c>
      <c r="F6" s="8"/>
      <c r="G6" s="9"/>
    </row>
    <row r="7" spans="1:3" ht="18.75">
      <c r="A7" s="12" t="s">
        <v>6</v>
      </c>
      <c r="B7" s="46">
        <v>15.28</v>
      </c>
      <c r="C7" s="1" t="s">
        <v>95</v>
      </c>
    </row>
    <row r="8" spans="1:7" ht="18.75" hidden="1">
      <c r="A8" s="15" t="s">
        <v>12</v>
      </c>
      <c r="B8" s="16">
        <v>419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2</v>
      </c>
      <c r="C9" s="17" t="s">
        <v>82</v>
      </c>
      <c r="D9" s="17">
        <v>2</v>
      </c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1030</v>
      </c>
      <c r="C11" s="18">
        <v>1370</v>
      </c>
      <c r="D11" s="18">
        <v>890</v>
      </c>
      <c r="E11" s="18">
        <v>1510</v>
      </c>
      <c r="F11" s="17"/>
      <c r="G11" s="17"/>
    </row>
    <row r="12" spans="1:7" ht="18.75" hidden="1">
      <c r="A12" s="15" t="s">
        <v>19</v>
      </c>
      <c r="B12" s="21">
        <v>3872.8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488.1</v>
      </c>
      <c r="C13" s="21">
        <v>430.3</v>
      </c>
      <c r="D13" s="21">
        <f>B13+C13</f>
        <v>918.4000000000001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72</v>
      </c>
      <c r="C15" s="25">
        <v>72</v>
      </c>
      <c r="D15" s="25"/>
      <c r="E15" s="26">
        <f>D15+C15+B15</f>
        <v>144</v>
      </c>
      <c r="F15" s="18"/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0">
        <f>B8*8.689*12</f>
        <v>43688.292</v>
      </c>
    </row>
    <row r="18" spans="1:7" ht="15.75">
      <c r="A18" s="29" t="s">
        <v>31</v>
      </c>
      <c r="B18" s="29"/>
      <c r="C18" s="29"/>
      <c r="D18" s="29"/>
      <c r="E18" s="29"/>
      <c r="F18" s="29"/>
      <c r="G18" s="30">
        <f>B9*19.029*12</f>
        <v>456.696</v>
      </c>
    </row>
    <row r="19" spans="1:7" ht="15.75" customHeight="1">
      <c r="A19" s="29" t="s">
        <v>85</v>
      </c>
      <c r="B19" s="29"/>
      <c r="C19" s="29"/>
      <c r="D19" s="29"/>
      <c r="E19" s="29"/>
      <c r="F19" s="29"/>
      <c r="G19" s="30">
        <f>B12*0.4522*0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0">
        <f>(B11*12.84/100*189)+(C11*9.63/100*113)+(D11*32.11/100*71)+(E11*2.41/100*12)</f>
        <v>60630.83200000001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27291.999672054157</v>
      </c>
    </row>
    <row r="22" spans="1:7" ht="15.75">
      <c r="A22" s="29" t="s">
        <v>35</v>
      </c>
      <c r="B22" s="29"/>
      <c r="C22" s="29"/>
      <c r="D22" s="29"/>
      <c r="E22" s="29"/>
      <c r="F22" s="29"/>
      <c r="G22" s="30">
        <f>D13*0.135*6</f>
        <v>743.9040000000001</v>
      </c>
    </row>
    <row r="23" spans="1:7" ht="16.5">
      <c r="A23" s="29" t="s">
        <v>36</v>
      </c>
      <c r="B23" s="29"/>
      <c r="C23" s="29"/>
      <c r="D23" s="29"/>
      <c r="E23" s="29"/>
      <c r="F23" s="29"/>
      <c r="G23" s="30">
        <f>114.94+4396.68+632.2+215.52+3620.71</f>
        <v>8980.05</v>
      </c>
    </row>
    <row r="24" spans="1:7" ht="15.75">
      <c r="A24" s="29" t="s">
        <v>37</v>
      </c>
      <c r="B24" s="29"/>
      <c r="C24" s="29"/>
      <c r="D24" s="29"/>
      <c r="E24" s="29"/>
      <c r="F24" s="29"/>
      <c r="G24" s="30">
        <f>B3*0.885*12</f>
        <v>41129.136000000006</v>
      </c>
    </row>
    <row r="25" spans="1:7" ht="16.5">
      <c r="A25" s="29" t="s">
        <v>87</v>
      </c>
      <c r="B25" s="29"/>
      <c r="C25" s="29"/>
      <c r="D25" s="29"/>
      <c r="E25" s="29"/>
      <c r="F25" s="29"/>
      <c r="G25" s="30">
        <f>B3*2.648*4+B3*2.245*8</f>
        <v>110576.18560000003</v>
      </c>
    </row>
    <row r="26" spans="1:7" ht="15.75">
      <c r="A26" s="29" t="s">
        <v>39</v>
      </c>
      <c r="B26" s="29"/>
      <c r="C26" s="29"/>
      <c r="D26" s="29"/>
      <c r="E26" s="29"/>
      <c r="F26" s="29"/>
      <c r="G26" s="30">
        <f>2*9990</f>
        <v>19980</v>
      </c>
    </row>
    <row r="27" spans="1:7" ht="15.75">
      <c r="A27" s="29" t="s">
        <v>40</v>
      </c>
      <c r="B27" s="29"/>
      <c r="C27" s="29"/>
      <c r="D27" s="29"/>
      <c r="E27" s="29"/>
      <c r="F27" s="29"/>
      <c r="G27" s="30">
        <f>2*1209</f>
        <v>2418</v>
      </c>
    </row>
    <row r="28" spans="1:7" ht="15.75">
      <c r="A28" s="29" t="s">
        <v>41</v>
      </c>
      <c r="B28" s="29"/>
      <c r="C28" s="29"/>
      <c r="D28" s="29"/>
      <c r="E28" s="29"/>
      <c r="F28" s="29"/>
      <c r="G28" s="30">
        <f>8448+3017.52+539.12</f>
        <v>12004.640000000001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0">
        <f>B3*1.81*6</f>
        <v>42058.60800000001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678.24</v>
      </c>
    </row>
    <row r="34" spans="1:7" ht="15.75">
      <c r="A34" s="29" t="s">
        <v>47</v>
      </c>
      <c r="B34" s="29"/>
      <c r="C34" s="29"/>
      <c r="D34" s="29"/>
      <c r="E34" s="29"/>
      <c r="F34" s="29"/>
      <c r="G34" s="30">
        <f>B3*0.65*12</f>
        <v>30207.840000000004</v>
      </c>
    </row>
    <row r="35" spans="1:7" ht="15.75">
      <c r="A35" s="29" t="s">
        <v>48</v>
      </c>
      <c r="B35" s="29"/>
      <c r="C35" s="29"/>
      <c r="D35" s="29"/>
      <c r="E35" s="29"/>
      <c r="F35" s="29"/>
      <c r="G35" s="30">
        <f>B3*0.82*12</f>
        <v>38108.352000000006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B3*0.95*12</f>
        <v>44149.920000000006</v>
      </c>
    </row>
    <row r="37" spans="1:7" ht="15.7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483102.69527205423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5.75" hidden="1">
      <c r="A39" s="29" t="s">
        <v>52</v>
      </c>
      <c r="B39" s="29"/>
      <c r="C39" s="29"/>
      <c r="D39" s="29"/>
      <c r="E39" s="29"/>
      <c r="F39" s="29"/>
      <c r="G39" s="36">
        <f>B3*2.96*12</f>
        <v>137561.85600000003</v>
      </c>
    </row>
    <row r="40" spans="1:7" ht="15.75">
      <c r="A40" s="29" t="s">
        <v>53</v>
      </c>
      <c r="B40" s="29"/>
      <c r="C40" s="29"/>
      <c r="D40" s="29"/>
      <c r="E40" s="29"/>
      <c r="F40" s="29"/>
      <c r="G40" s="36"/>
    </row>
    <row r="41" spans="1:7" ht="16.5">
      <c r="A41" s="37" t="s">
        <v>54</v>
      </c>
      <c r="B41" s="37"/>
      <c r="C41" s="37"/>
      <c r="D41" s="37"/>
      <c r="E41" s="37"/>
      <c r="F41" s="37"/>
      <c r="G41" s="36">
        <f>12088.02+1506.59+8959.01</f>
        <v>22553.620000000003</v>
      </c>
    </row>
    <row r="42" spans="1:7" ht="16.5">
      <c r="A42" s="37" t="s">
        <v>55</v>
      </c>
      <c r="B42" s="37"/>
      <c r="C42" s="37"/>
      <c r="D42" s="37"/>
      <c r="E42" s="37"/>
      <c r="F42" s="37"/>
      <c r="G42" s="36"/>
    </row>
    <row r="43" spans="1:7" ht="16.5">
      <c r="A43" s="37" t="s">
        <v>56</v>
      </c>
      <c r="B43" s="37"/>
      <c r="C43" s="37"/>
      <c r="D43" s="37"/>
      <c r="E43" s="37"/>
      <c r="F43" s="37"/>
      <c r="G43" s="36">
        <v>737.53</v>
      </c>
    </row>
    <row r="44" spans="1:7" ht="16.5" hidden="1">
      <c r="A44" s="37" t="s">
        <v>57</v>
      </c>
      <c r="B44" s="37"/>
      <c r="C44" s="37"/>
      <c r="D44" s="37"/>
      <c r="E44" s="37"/>
      <c r="F44" s="37"/>
      <c r="G44" s="36"/>
    </row>
    <row r="45" spans="1:7" ht="16.5" hidden="1">
      <c r="A45" s="37" t="s">
        <v>58</v>
      </c>
      <c r="B45" s="37"/>
      <c r="C45" s="37"/>
      <c r="D45" s="37"/>
      <c r="E45" s="37"/>
      <c r="F45" s="37"/>
      <c r="G45" s="36"/>
    </row>
    <row r="46" spans="1:7" ht="16.5">
      <c r="A46" s="37" t="s">
        <v>59</v>
      </c>
      <c r="B46" s="37"/>
      <c r="C46" s="37"/>
      <c r="D46" s="37"/>
      <c r="E46" s="37"/>
      <c r="F46" s="37"/>
      <c r="G46" s="36">
        <f>452.38+1070.84+8561.85+1017.92</f>
        <v>11102.99</v>
      </c>
    </row>
    <row r="47" spans="1:7" ht="16.5">
      <c r="A47" s="37" t="s">
        <v>60</v>
      </c>
      <c r="B47" s="37"/>
      <c r="C47" s="37"/>
      <c r="D47" s="37"/>
      <c r="E47" s="37"/>
      <c r="F47" s="37"/>
      <c r="G47" s="36">
        <f>2390.57+42.09+146.98</f>
        <v>2579.6400000000003</v>
      </c>
    </row>
    <row r="48" spans="1:7" ht="16.5">
      <c r="A48" s="37" t="s">
        <v>61</v>
      </c>
      <c r="B48" s="37"/>
      <c r="C48" s="37"/>
      <c r="D48" s="37"/>
      <c r="E48" s="37"/>
      <c r="F48" s="37"/>
      <c r="G48" s="36">
        <f>2079.6+11340.25</f>
        <v>13419.85</v>
      </c>
    </row>
    <row r="49" spans="1:7" ht="16.5" hidden="1">
      <c r="A49" s="37" t="s">
        <v>62</v>
      </c>
      <c r="B49" s="37"/>
      <c r="C49" s="37"/>
      <c r="D49" s="37"/>
      <c r="E49" s="37"/>
      <c r="F49" s="37"/>
      <c r="G49" s="36"/>
    </row>
    <row r="50" spans="1:7" ht="16.5">
      <c r="A50" s="37" t="s">
        <v>125</v>
      </c>
      <c r="B50" s="37"/>
      <c r="C50" s="37"/>
      <c r="D50" s="37"/>
      <c r="E50" s="37"/>
      <c r="F50" s="37"/>
      <c r="G50" s="36">
        <f>7191.96+56.71</f>
        <v>7248.67</v>
      </c>
    </row>
    <row r="51" spans="1:7" ht="17.25" hidden="1">
      <c r="A51" s="37" t="s">
        <v>64</v>
      </c>
      <c r="B51" s="37"/>
      <c r="C51" s="37"/>
      <c r="D51" s="37"/>
      <c r="E51" s="37"/>
      <c r="F51" s="37"/>
      <c r="G51" s="36"/>
    </row>
    <row r="52" spans="1:7" ht="17.25">
      <c r="A52" s="37" t="s">
        <v>65</v>
      </c>
      <c r="B52" s="37"/>
      <c r="C52" s="37"/>
      <c r="D52" s="37"/>
      <c r="E52" s="37"/>
      <c r="F52" s="37"/>
      <c r="G52" s="36">
        <v>40493.32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98135.62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581238.3152720542</v>
      </c>
    </row>
    <row r="57" spans="1:7" ht="17.25">
      <c r="A57" s="29" t="s">
        <v>70</v>
      </c>
      <c r="B57" s="29"/>
      <c r="C57" s="29"/>
      <c r="D57" s="29"/>
      <c r="E57" s="29"/>
      <c r="F57" s="29"/>
      <c r="G57" s="36">
        <f>-28593.48-2639.35-340.57</f>
        <v>-31573.399999999998</v>
      </c>
    </row>
    <row r="58" spans="1:7" ht="15.75" customHeight="1">
      <c r="A58" s="40" t="s">
        <v>71</v>
      </c>
      <c r="B58" s="40"/>
      <c r="C58" s="40"/>
      <c r="D58" s="40"/>
      <c r="E58" s="40"/>
      <c r="F58" s="40"/>
      <c r="G58" s="39">
        <f>B3*B4*4+B3*B5*2+B3*B6*5+B3*B7*1+G59</f>
        <v>694334.2479999999</v>
      </c>
    </row>
    <row r="59" spans="1:7" ht="16.5">
      <c r="A59" s="41" t="s">
        <v>113</v>
      </c>
      <c r="B59" s="41"/>
      <c r="C59" s="41"/>
      <c r="D59" s="41"/>
      <c r="E59" s="41"/>
      <c r="F59" s="41"/>
      <c r="G59" s="39">
        <f>160*1*12+141.6*1*12+215.6*1*12+141.6*1*12+269*12*1</f>
        <v>11133.599999999999</v>
      </c>
    </row>
    <row r="60" spans="1:7" ht="17.25" customHeight="1">
      <c r="A60" s="42" t="s">
        <v>73</v>
      </c>
      <c r="B60" s="42"/>
      <c r="C60" s="42"/>
      <c r="D60" s="42"/>
      <c r="E60" s="42"/>
      <c r="F60" s="42"/>
      <c r="G60" s="43">
        <v>41794.71</v>
      </c>
    </row>
    <row r="61" spans="1:7" ht="66" customHeight="1">
      <c r="A61" s="44" t="s">
        <v>98</v>
      </c>
      <c r="B61" s="44"/>
      <c r="C61" s="44"/>
      <c r="D61" s="44"/>
      <c r="E61" s="44"/>
      <c r="F61" s="44"/>
      <c r="G61" s="48">
        <f>G56-G58+G60-G57</f>
        <v>-39727.82272794575</v>
      </c>
    </row>
    <row r="65" ht="15.7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65"/>
  <sheetViews>
    <sheetView zoomScale="75" zoomScaleNormal="75" workbookViewId="0" topLeftCell="A4">
      <selection activeCell="A25" sqref="A25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7.71093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62.2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76</v>
      </c>
      <c r="B2" s="7" t="s">
        <v>77</v>
      </c>
      <c r="C2" s="7"/>
      <c r="D2" s="7"/>
      <c r="E2" s="7"/>
      <c r="F2" s="8" t="s">
        <v>3</v>
      </c>
      <c r="G2" s="9">
        <v>10</v>
      </c>
    </row>
    <row r="3" spans="1:7" ht="18.75">
      <c r="A3" s="6" t="s">
        <v>78</v>
      </c>
      <c r="B3" s="10">
        <v>7912.3</v>
      </c>
      <c r="F3" s="8" t="s">
        <v>5</v>
      </c>
      <c r="G3" s="11">
        <v>1</v>
      </c>
    </row>
    <row r="4" spans="1:7" ht="18.75">
      <c r="A4" s="12" t="s">
        <v>79</v>
      </c>
      <c r="B4" s="46">
        <v>14.48</v>
      </c>
      <c r="C4" s="1" t="s">
        <v>80</v>
      </c>
      <c r="F4" s="8" t="s">
        <v>8</v>
      </c>
      <c r="G4" s="9">
        <v>1989</v>
      </c>
    </row>
    <row r="5" spans="1:7" ht="18.75">
      <c r="A5" s="12" t="s">
        <v>79</v>
      </c>
      <c r="B5" s="46">
        <v>14.53</v>
      </c>
      <c r="C5" s="1" t="s">
        <v>81</v>
      </c>
      <c r="F5" s="8"/>
      <c r="G5" s="9"/>
    </row>
    <row r="6" spans="1:7" ht="18.75" hidden="1">
      <c r="A6" s="12" t="s">
        <v>79</v>
      </c>
      <c r="B6" s="46"/>
      <c r="C6" s="1" t="s">
        <v>11</v>
      </c>
      <c r="F6" s="8"/>
      <c r="G6" s="9"/>
    </row>
    <row r="7" spans="1:3" ht="18.75">
      <c r="A7" s="12" t="s">
        <v>79</v>
      </c>
      <c r="B7" s="46">
        <v>15.08</v>
      </c>
      <c r="C7" s="1" t="s">
        <v>11</v>
      </c>
    </row>
    <row r="8" spans="1:7" ht="18" hidden="1">
      <c r="A8" s="15" t="s">
        <v>12</v>
      </c>
      <c r="B8" s="16">
        <v>616</v>
      </c>
      <c r="C8" s="17"/>
      <c r="D8" s="17"/>
      <c r="E8" s="17"/>
      <c r="F8" s="17"/>
      <c r="G8" s="17"/>
    </row>
    <row r="9" spans="1:7" ht="18" hidden="1">
      <c r="A9" s="15" t="s">
        <v>13</v>
      </c>
      <c r="B9" s="18">
        <v>3.47</v>
      </c>
      <c r="C9" s="17" t="s">
        <v>82</v>
      </c>
      <c r="D9" s="17">
        <v>2</v>
      </c>
      <c r="E9" s="17"/>
      <c r="F9" s="17"/>
      <c r="G9" s="17"/>
    </row>
    <row r="10" spans="1:7" ht="33.7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9.5" hidden="1">
      <c r="A11" s="15"/>
      <c r="B11" s="18">
        <v>982</v>
      </c>
      <c r="C11" s="18">
        <v>402</v>
      </c>
      <c r="D11" s="18">
        <v>982</v>
      </c>
      <c r="E11" s="18">
        <v>402</v>
      </c>
      <c r="F11" s="17"/>
      <c r="G11" s="17"/>
    </row>
    <row r="12" spans="1:7" ht="19.5" hidden="1">
      <c r="A12" s="15" t="s">
        <v>19</v>
      </c>
      <c r="B12" s="21">
        <v>0</v>
      </c>
      <c r="C12" s="17" t="s">
        <v>83</v>
      </c>
      <c r="D12" s="17"/>
      <c r="E12" s="17"/>
      <c r="F12" s="17"/>
      <c r="G12" s="17"/>
    </row>
    <row r="13" spans="1:7" ht="18" hidden="1">
      <c r="A13" s="15" t="s">
        <v>21</v>
      </c>
      <c r="B13" s="21"/>
      <c r="C13" s="21">
        <v>449.3</v>
      </c>
      <c r="D13" s="21">
        <f>B13+C13</f>
        <v>449.3</v>
      </c>
      <c r="E13" s="17"/>
      <c r="F13" s="17"/>
      <c r="G13" s="17"/>
    </row>
    <row r="14" spans="1:7" ht="48.75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150</v>
      </c>
      <c r="C15" s="25"/>
      <c r="D15" s="25">
        <v>150</v>
      </c>
      <c r="E15" s="26">
        <f>D15+C15+B15</f>
        <v>300</v>
      </c>
      <c r="F15" s="18"/>
      <c r="G15" s="17" t="s">
        <v>84</v>
      </c>
    </row>
    <row r="16" spans="1:7" ht="16.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6.5">
      <c r="A17" s="29" t="s">
        <v>30</v>
      </c>
      <c r="B17" s="29"/>
      <c r="C17" s="29"/>
      <c r="D17" s="29"/>
      <c r="E17" s="29"/>
      <c r="F17" s="29"/>
      <c r="G17" s="30">
        <f>B8*8.689*12</f>
        <v>64229.088</v>
      </c>
    </row>
    <row r="18" spans="1:7" ht="16.5">
      <c r="A18" s="29" t="s">
        <v>31</v>
      </c>
      <c r="B18" s="29"/>
      <c r="C18" s="29"/>
      <c r="D18" s="29"/>
      <c r="E18" s="29"/>
      <c r="F18" s="29"/>
      <c r="G18" s="30">
        <f>B9*19.029*12</f>
        <v>792.36756</v>
      </c>
    </row>
    <row r="19" spans="1:7" ht="17.25" customHeight="1" hidden="1">
      <c r="A19" s="29" t="s">
        <v>85</v>
      </c>
      <c r="B19" s="29"/>
      <c r="C19" s="29"/>
      <c r="D19" s="29"/>
      <c r="E19" s="29"/>
      <c r="F19" s="29"/>
      <c r="G19" s="30">
        <f>B12*0.4523*12</f>
        <v>0</v>
      </c>
    </row>
    <row r="20" spans="1:7" ht="15.75" customHeight="1">
      <c r="A20" s="29" t="s">
        <v>33</v>
      </c>
      <c r="B20" s="29"/>
      <c r="C20" s="29"/>
      <c r="D20" s="29"/>
      <c r="E20" s="29"/>
      <c r="F20" s="29"/>
      <c r="G20" s="30">
        <f>(B11*12.84/100*189)+(C11*9.63/100*113)+(D11*32.11/100*71)+(E11*2.41/100*12)</f>
        <v>50709.29959999999</v>
      </c>
    </row>
    <row r="21" spans="1:7" ht="15.75" customHeight="1">
      <c r="A21" s="31" t="s">
        <v>86</v>
      </c>
      <c r="B21" s="31"/>
      <c r="C21" s="31"/>
      <c r="D21" s="31"/>
      <c r="E21" s="31"/>
      <c r="F21" s="31"/>
      <c r="G21" s="32">
        <f>(1014567.18*1.18+308700+213742.08)/244019.8*B3</f>
        <v>55758.7505177634</v>
      </c>
    </row>
    <row r="22" spans="1:7" ht="16.5">
      <c r="A22" s="29" t="s">
        <v>35</v>
      </c>
      <c r="B22" s="29"/>
      <c r="C22" s="29"/>
      <c r="D22" s="29"/>
      <c r="E22" s="29"/>
      <c r="F22" s="29"/>
      <c r="G22" s="30">
        <f>D13*0.135*6+1258.04</f>
        <v>1621.973</v>
      </c>
    </row>
    <row r="23" spans="1:7" ht="16.5" hidden="1">
      <c r="A23" s="29" t="s">
        <v>36</v>
      </c>
      <c r="B23" s="29"/>
      <c r="C23" s="29"/>
      <c r="D23" s="29"/>
      <c r="E23" s="29"/>
      <c r="F23" s="29"/>
      <c r="G23" s="30">
        <v>0</v>
      </c>
    </row>
    <row r="24" spans="1:7" ht="16.5">
      <c r="A24" s="29" t="s">
        <v>37</v>
      </c>
      <c r="B24" s="29"/>
      <c r="C24" s="29"/>
      <c r="D24" s="29"/>
      <c r="E24" s="29"/>
      <c r="F24" s="29"/>
      <c r="G24" s="30">
        <f>B3*0.885*12</f>
        <v>84028.626</v>
      </c>
    </row>
    <row r="25" spans="1:7" ht="17.25">
      <c r="A25" s="29" t="s">
        <v>87</v>
      </c>
      <c r="B25" s="29"/>
      <c r="C25" s="29"/>
      <c r="D25" s="29"/>
      <c r="E25" s="29"/>
      <c r="F25" s="29"/>
      <c r="G25" s="30">
        <f>B3*2.648*4+B3*2.245*8</f>
        <v>225911.9896</v>
      </c>
    </row>
    <row r="26" spans="1:7" ht="16.5">
      <c r="A26" s="29" t="s">
        <v>39</v>
      </c>
      <c r="B26" s="29"/>
      <c r="C26" s="29"/>
      <c r="D26" s="29"/>
      <c r="E26" s="29"/>
      <c r="F26" s="29"/>
      <c r="G26" s="30">
        <f>2*9990</f>
        <v>19980</v>
      </c>
    </row>
    <row r="27" spans="1:7" ht="16.5">
      <c r="A27" s="29" t="s">
        <v>40</v>
      </c>
      <c r="B27" s="29"/>
      <c r="C27" s="29"/>
      <c r="D27" s="29"/>
      <c r="E27" s="29"/>
      <c r="F27" s="29"/>
      <c r="G27" s="30">
        <f>2*1209</f>
        <v>2418</v>
      </c>
    </row>
    <row r="28" spans="1:7" ht="16.5">
      <c r="A28" s="29" t="s">
        <v>41</v>
      </c>
      <c r="B28" s="29"/>
      <c r="C28" s="29"/>
      <c r="D28" s="29"/>
      <c r="E28" s="29"/>
      <c r="F28" s="29"/>
      <c r="G28" s="30">
        <f>4224+3017.52+539.12</f>
        <v>7780.64</v>
      </c>
    </row>
    <row r="29" spans="1:7" ht="16.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6.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7.2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 customHeight="1">
      <c r="A32" s="29" t="s">
        <v>45</v>
      </c>
      <c r="B32" s="29"/>
      <c r="C32" s="29"/>
      <c r="D32" s="29"/>
      <c r="E32" s="29"/>
      <c r="F32" s="29"/>
      <c r="G32" s="30">
        <f>B3*1.81*6+B3*1.86*6</f>
        <v>174228.84600000002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1413</v>
      </c>
    </row>
    <row r="34" spans="1:7" ht="16.5">
      <c r="A34" s="29" t="s">
        <v>47</v>
      </c>
      <c r="B34" s="29"/>
      <c r="C34" s="29"/>
      <c r="D34" s="29"/>
      <c r="E34" s="29"/>
      <c r="F34" s="29"/>
      <c r="G34" s="30">
        <f>B3*0.65*12</f>
        <v>61715.94</v>
      </c>
    </row>
    <row r="35" spans="1:7" ht="16.5">
      <c r="A35" s="29" t="s">
        <v>48</v>
      </c>
      <c r="B35" s="29"/>
      <c r="C35" s="29"/>
      <c r="D35" s="29"/>
      <c r="E35" s="29"/>
      <c r="F35" s="29"/>
      <c r="G35" s="30">
        <f>B3*0.82*12</f>
        <v>77857.032</v>
      </c>
    </row>
    <row r="36" spans="1:7" ht="17.25" customHeight="1">
      <c r="A36" s="29" t="s">
        <v>49</v>
      </c>
      <c r="B36" s="29"/>
      <c r="C36" s="29"/>
      <c r="D36" s="29"/>
      <c r="E36" s="29"/>
      <c r="F36" s="29"/>
      <c r="G36" s="30">
        <f>B3*0.95*12</f>
        <v>90200.22</v>
      </c>
    </row>
    <row r="37" spans="1:7" ht="15.75" customHeight="1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918645.7722777635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6.5" hidden="1">
      <c r="A39" s="29" t="s">
        <v>52</v>
      </c>
      <c r="B39" s="29"/>
      <c r="C39" s="29"/>
      <c r="D39" s="29"/>
      <c r="E39" s="29"/>
      <c r="F39" s="29"/>
      <c r="G39" s="36">
        <f>B3*3.47*12</f>
        <v>329468.172</v>
      </c>
    </row>
    <row r="40" spans="1:7" ht="16.5">
      <c r="A40" s="29" t="s">
        <v>53</v>
      </c>
      <c r="B40" s="29"/>
      <c r="C40" s="29"/>
      <c r="D40" s="29"/>
      <c r="E40" s="29"/>
      <c r="F40" s="29"/>
      <c r="G40" s="36"/>
    </row>
    <row r="41" spans="1:7" ht="16.5">
      <c r="A41" s="37" t="s">
        <v>54</v>
      </c>
      <c r="B41" s="37"/>
      <c r="C41" s="37"/>
      <c r="D41" s="37"/>
      <c r="E41" s="37"/>
      <c r="F41" s="37"/>
      <c r="G41" s="36">
        <f>8303.83+524.67</f>
        <v>8828.5</v>
      </c>
    </row>
    <row r="42" spans="1:7" ht="16.5">
      <c r="A42" s="37" t="s">
        <v>55</v>
      </c>
      <c r="B42" s="37"/>
      <c r="C42" s="37"/>
      <c r="D42" s="37"/>
      <c r="E42" s="37"/>
      <c r="F42" s="37"/>
      <c r="G42" s="36">
        <v>1018.46</v>
      </c>
    </row>
    <row r="43" spans="1:7" ht="16.5" hidden="1">
      <c r="A43" s="37" t="s">
        <v>56</v>
      </c>
      <c r="B43" s="37"/>
      <c r="C43" s="37"/>
      <c r="D43" s="37"/>
      <c r="E43" s="37"/>
      <c r="F43" s="37"/>
      <c r="G43" s="36"/>
    </row>
    <row r="44" spans="1:7" ht="16.5" hidden="1">
      <c r="A44" s="37" t="s">
        <v>57</v>
      </c>
      <c r="B44" s="37"/>
      <c r="C44" s="37"/>
      <c r="D44" s="37"/>
      <c r="E44" s="37"/>
      <c r="F44" s="37"/>
      <c r="G44" s="36"/>
    </row>
    <row r="45" spans="1:7" ht="16.5" hidden="1">
      <c r="A45" s="37" t="s">
        <v>58</v>
      </c>
      <c r="B45" s="37"/>
      <c r="C45" s="37"/>
      <c r="D45" s="37"/>
      <c r="E45" s="37"/>
      <c r="F45" s="37"/>
      <c r="G45" s="36"/>
    </row>
    <row r="46" spans="1:7" ht="16.5">
      <c r="A46" s="37" t="s">
        <v>59</v>
      </c>
      <c r="B46" s="37"/>
      <c r="C46" s="37"/>
      <c r="D46" s="37"/>
      <c r="E46" s="37"/>
      <c r="F46" s="37"/>
      <c r="G46" s="36">
        <f>180.33+3068.28</f>
        <v>3248.61</v>
      </c>
    </row>
    <row r="47" spans="1:7" ht="16.5">
      <c r="A47" s="37" t="s">
        <v>60</v>
      </c>
      <c r="B47" s="37"/>
      <c r="C47" s="37"/>
      <c r="D47" s="37"/>
      <c r="E47" s="37"/>
      <c r="F47" s="37"/>
      <c r="G47" s="36">
        <f>2343.57+212.86+42.08+315.35</f>
        <v>2913.86</v>
      </c>
    </row>
    <row r="48" spans="1:7" ht="16.5">
      <c r="A48" s="37" t="s">
        <v>61</v>
      </c>
      <c r="B48" s="37"/>
      <c r="C48" s="37"/>
      <c r="D48" s="37"/>
      <c r="E48" s="37"/>
      <c r="F48" s="37"/>
      <c r="G48" s="36">
        <f>2195.57+1469.99+745.78+13440.29+4620.1+3780.08+4620.1+4620.1</f>
        <v>35492.01</v>
      </c>
    </row>
    <row r="49" spans="1:7" ht="16.5">
      <c r="A49" s="37" t="s">
        <v>62</v>
      </c>
      <c r="B49" s="37"/>
      <c r="C49" s="37"/>
      <c r="D49" s="37"/>
      <c r="E49" s="37"/>
      <c r="F49" s="37"/>
      <c r="G49" s="36"/>
    </row>
    <row r="50" spans="1:7" ht="16.5">
      <c r="A50" s="37" t="s">
        <v>88</v>
      </c>
      <c r="B50" s="37"/>
      <c r="C50" s="37"/>
      <c r="D50" s="37"/>
      <c r="E50" s="37"/>
      <c r="F50" s="37"/>
      <c r="G50" s="36">
        <v>763.38</v>
      </c>
    </row>
    <row r="51" spans="1:7" ht="16.5" hidden="1">
      <c r="A51" s="37" t="s">
        <v>64</v>
      </c>
      <c r="B51" s="37"/>
      <c r="C51" s="37"/>
      <c r="D51" s="37"/>
      <c r="E51" s="37"/>
      <c r="F51" s="37"/>
      <c r="G51" s="36"/>
    </row>
    <row r="52" spans="1:7" ht="16.5">
      <c r="A52" s="37" t="s">
        <v>65</v>
      </c>
      <c r="B52" s="37"/>
      <c r="C52" s="37"/>
      <c r="D52" s="37"/>
      <c r="E52" s="37"/>
      <c r="F52" s="37"/>
      <c r="G52" s="36">
        <v>51693.6</v>
      </c>
    </row>
    <row r="53" spans="1:7" ht="17.2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103958.42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4">
        <f>G37+G55</f>
        <v>1022604.1922777635</v>
      </c>
    </row>
    <row r="57" spans="1:7" ht="16.5">
      <c r="A57" s="29" t="s">
        <v>70</v>
      </c>
      <c r="B57" s="29"/>
      <c r="C57" s="29"/>
      <c r="D57" s="29"/>
      <c r="E57" s="29"/>
      <c r="F57" s="29"/>
      <c r="G57" s="36">
        <f>-5179.54-4865.4-4254.09-2442.28-748.51-378.3-119.06-159.25-270.24</f>
        <v>-18416.67</v>
      </c>
    </row>
    <row r="58" spans="1:7" ht="17.25" customHeight="1">
      <c r="A58" s="40" t="s">
        <v>71</v>
      </c>
      <c r="B58" s="40"/>
      <c r="C58" s="40"/>
      <c r="D58" s="40"/>
      <c r="E58" s="40"/>
      <c r="F58" s="40"/>
      <c r="G58" s="39">
        <f>B3*B4*6+B3*B5*5+B3*B7*1+G59</f>
        <v>1402053.5829999999</v>
      </c>
    </row>
    <row r="59" spans="1:7" ht="15.75" customHeight="1">
      <c r="A59" s="41" t="s">
        <v>89</v>
      </c>
      <c r="B59" s="41"/>
      <c r="C59" s="41"/>
      <c r="D59" s="41"/>
      <c r="E59" s="41"/>
      <c r="F59" s="41"/>
      <c r="G59" s="36">
        <f>160*1*12+1*180*12+1*141.6*12+215.6*1*12+2*141.6*12+1*269*12+1*457.84*12</f>
        <v>20486.879999999997</v>
      </c>
    </row>
    <row r="60" spans="1:7" ht="24" customHeight="1">
      <c r="A60" s="42" t="s">
        <v>73</v>
      </c>
      <c r="B60" s="42"/>
      <c r="C60" s="42"/>
      <c r="D60" s="42"/>
      <c r="E60" s="42"/>
      <c r="F60" s="42"/>
      <c r="G60" s="43">
        <v>164639.12</v>
      </c>
    </row>
    <row r="61" spans="1:7" ht="58.5" customHeight="1">
      <c r="A61" s="44" t="s">
        <v>90</v>
      </c>
      <c r="B61" s="44"/>
      <c r="C61" s="44"/>
      <c r="D61" s="44"/>
      <c r="E61" s="44"/>
      <c r="F61" s="44"/>
      <c r="G61" s="45">
        <f>G56-G58-G57+G60</f>
        <v>-196393.60072223638</v>
      </c>
    </row>
    <row r="62" ht="16.5"/>
    <row r="63" ht="16.5"/>
    <row r="64" ht="16.5"/>
    <row r="65" ht="16.5">
      <c r="A65" s="1" t="s">
        <v>75</v>
      </c>
    </row>
    <row r="69" ht="16.5"/>
    <row r="79" ht="16.5"/>
    <row r="83" ht="16.5"/>
    <row r="84" ht="16.5"/>
    <row r="86" ht="16.5"/>
    <row r="90" ht="16.5"/>
    <row r="91" ht="16.5"/>
    <row r="94" ht="16.5"/>
    <row r="95" ht="16.5"/>
    <row r="96" ht="16.5"/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19652777777777777" right="0" top="0" bottom="0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64"/>
  <sheetViews>
    <sheetView zoomScale="75" zoomScaleNormal="75" workbookViewId="0" topLeftCell="A1">
      <selection activeCell="A25" sqref="A25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28125" style="1" customWidth="1"/>
    <col min="7" max="7" width="14.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6.2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135</v>
      </c>
      <c r="C2" s="7"/>
      <c r="D2" s="7"/>
      <c r="E2" s="7"/>
      <c r="F2" s="8" t="s">
        <v>3</v>
      </c>
      <c r="G2" s="9">
        <v>9</v>
      </c>
    </row>
    <row r="3" spans="1:7" ht="21.75" customHeight="1">
      <c r="A3" s="6" t="s">
        <v>4</v>
      </c>
      <c r="B3" s="10">
        <v>4003.5</v>
      </c>
      <c r="F3" s="8" t="s">
        <v>5</v>
      </c>
      <c r="G3" s="11">
        <v>2</v>
      </c>
    </row>
    <row r="4" spans="1:7" ht="18.75">
      <c r="A4" s="12" t="s">
        <v>6</v>
      </c>
      <c r="B4" s="46">
        <v>14.53</v>
      </c>
      <c r="C4" s="1" t="s">
        <v>93</v>
      </c>
      <c r="F4" s="8" t="s">
        <v>8</v>
      </c>
      <c r="G4" s="9">
        <v>1979</v>
      </c>
    </row>
    <row r="5" spans="1:7" ht="18.75">
      <c r="A5" s="12" t="s">
        <v>6</v>
      </c>
      <c r="B5" s="46">
        <v>14.68</v>
      </c>
      <c r="C5" s="1" t="s">
        <v>94</v>
      </c>
      <c r="F5" s="8"/>
      <c r="G5" s="9"/>
    </row>
    <row r="6" spans="1:7" ht="18.75">
      <c r="A6" s="12" t="s">
        <v>6</v>
      </c>
      <c r="B6" s="46">
        <v>14.73</v>
      </c>
      <c r="C6" s="1" t="s">
        <v>10</v>
      </c>
      <c r="F6" s="8"/>
      <c r="G6" s="9"/>
    </row>
    <row r="7" spans="1:3" ht="18.75">
      <c r="A7" s="12" t="s">
        <v>6</v>
      </c>
      <c r="B7" s="46">
        <v>15.28</v>
      </c>
      <c r="C7" s="1" t="s">
        <v>95</v>
      </c>
    </row>
    <row r="8" spans="1:7" ht="18.75" hidden="1">
      <c r="A8" s="15" t="s">
        <v>12</v>
      </c>
      <c r="B8" s="16">
        <v>699.1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2</v>
      </c>
      <c r="C9" s="17" t="s">
        <v>136</v>
      </c>
      <c r="D9" s="17">
        <v>2</v>
      </c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1010</v>
      </c>
      <c r="C11" s="18">
        <v>1565</v>
      </c>
      <c r="D11" s="18">
        <v>620</v>
      </c>
      <c r="E11" s="18">
        <v>1565</v>
      </c>
      <c r="F11" s="17"/>
      <c r="G11" s="17"/>
    </row>
    <row r="12" spans="1:7" ht="18.75" hidden="1">
      <c r="A12" s="15" t="s">
        <v>19</v>
      </c>
      <c r="B12" s="21">
        <v>0</v>
      </c>
      <c r="C12" s="17" t="s">
        <v>137</v>
      </c>
      <c r="D12" s="17"/>
      <c r="E12" s="17"/>
      <c r="F12" s="17"/>
      <c r="G12" s="17"/>
    </row>
    <row r="13" spans="1:7" ht="18.75" hidden="1">
      <c r="A13" s="15" t="s">
        <v>21</v>
      </c>
      <c r="B13" s="21">
        <v>452.8</v>
      </c>
      <c r="C13" s="21">
        <v>448.3</v>
      </c>
      <c r="D13" s="21">
        <f>B13+C13</f>
        <v>901.1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72</v>
      </c>
      <c r="C15" s="25">
        <v>72</v>
      </c>
      <c r="D15" s="25">
        <v>0</v>
      </c>
      <c r="E15" s="26">
        <f>D15+C15+B15</f>
        <v>144</v>
      </c>
      <c r="F15" s="18">
        <v>0</v>
      </c>
      <c r="G15" s="17"/>
    </row>
    <row r="16" spans="1:7" ht="16.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6.5">
      <c r="A17" s="29" t="s">
        <v>30</v>
      </c>
      <c r="B17" s="29"/>
      <c r="C17" s="29"/>
      <c r="D17" s="29"/>
      <c r="E17" s="29"/>
      <c r="F17" s="29"/>
      <c r="G17" s="30">
        <f>B8*8.689*12</f>
        <v>72893.75880000001</v>
      </c>
    </row>
    <row r="18" spans="1:7" ht="16.5">
      <c r="A18" s="29" t="s">
        <v>31</v>
      </c>
      <c r="B18" s="29"/>
      <c r="C18" s="29"/>
      <c r="D18" s="29"/>
      <c r="E18" s="29"/>
      <c r="F18" s="29"/>
      <c r="G18" s="30">
        <f>B9*19.029*12</f>
        <v>456.696</v>
      </c>
    </row>
    <row r="19" spans="1:7" ht="15.75" customHeight="1">
      <c r="A19" s="29" t="s">
        <v>32</v>
      </c>
      <c r="B19" s="29"/>
      <c r="C19" s="29"/>
      <c r="D19" s="29"/>
      <c r="E19" s="29"/>
      <c r="F19" s="29"/>
      <c r="G19" s="30">
        <f>B12*0.3613*12</f>
        <v>0</v>
      </c>
    </row>
    <row r="20" spans="1:7" ht="16.5">
      <c r="A20" s="29" t="s">
        <v>33</v>
      </c>
      <c r="B20" s="29"/>
      <c r="C20" s="29"/>
      <c r="D20" s="29"/>
      <c r="E20" s="29"/>
      <c r="F20" s="29"/>
      <c r="G20" s="30">
        <f>(B11*12.84/100*189)+(C11*9.63/100*113)+(D11*32.11/100*71)+(E11*2.41/100*12)</f>
        <v>56127.8695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28213.055331302625</v>
      </c>
    </row>
    <row r="22" spans="1:7" ht="16.5">
      <c r="A22" s="29" t="s">
        <v>35</v>
      </c>
      <c r="B22" s="29"/>
      <c r="C22" s="29"/>
      <c r="D22" s="29"/>
      <c r="E22" s="29"/>
      <c r="F22" s="29"/>
      <c r="G22" s="30">
        <f>D13*0.135*6</f>
        <v>729.8910000000001</v>
      </c>
    </row>
    <row r="23" spans="1:7" ht="16.5">
      <c r="A23" s="29" t="s">
        <v>36</v>
      </c>
      <c r="B23" s="29"/>
      <c r="C23" s="29"/>
      <c r="D23" s="29"/>
      <c r="E23" s="29"/>
      <c r="F23" s="29"/>
      <c r="G23" s="30">
        <f>114.94+4396.68+632.2+215.52+3620.71</f>
        <v>8980.05</v>
      </c>
    </row>
    <row r="24" spans="1:7" ht="16.5">
      <c r="A24" s="29" t="s">
        <v>37</v>
      </c>
      <c r="B24" s="29"/>
      <c r="C24" s="29"/>
      <c r="D24" s="29"/>
      <c r="E24" s="29"/>
      <c r="F24" s="29"/>
      <c r="G24" s="30">
        <f>B3*0.885*12</f>
        <v>42517.17</v>
      </c>
    </row>
    <row r="25" spans="1:7" ht="16.5">
      <c r="A25" s="29" t="s">
        <v>87</v>
      </c>
      <c r="B25" s="29"/>
      <c r="C25" s="29"/>
      <c r="D25" s="29"/>
      <c r="E25" s="29"/>
      <c r="F25" s="29"/>
      <c r="G25" s="30">
        <f>B3*2.648*4+B3*2.245*8</f>
        <v>114307.932</v>
      </c>
    </row>
    <row r="26" spans="1:7" ht="16.5">
      <c r="A26" s="29" t="s">
        <v>39</v>
      </c>
      <c r="B26" s="29"/>
      <c r="C26" s="29"/>
      <c r="D26" s="29"/>
      <c r="E26" s="29"/>
      <c r="F26" s="29"/>
      <c r="G26" s="30">
        <f>9990*2</f>
        <v>19980</v>
      </c>
    </row>
    <row r="27" spans="1:7" ht="16.5">
      <c r="A27" s="29" t="s">
        <v>40</v>
      </c>
      <c r="B27" s="29"/>
      <c r="C27" s="29"/>
      <c r="D27" s="29"/>
      <c r="E27" s="29"/>
      <c r="F27" s="29"/>
      <c r="G27" s="30">
        <f>1209*2</f>
        <v>2418</v>
      </c>
    </row>
    <row r="28" spans="1:7" ht="16.5">
      <c r="A28" s="29" t="s">
        <v>41</v>
      </c>
      <c r="B28" s="29"/>
      <c r="C28" s="29"/>
      <c r="D28" s="29"/>
      <c r="E28" s="29"/>
      <c r="F28" s="29"/>
      <c r="G28" s="30">
        <f>8448+3017.52+539.12</f>
        <v>12004.640000000001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6.5">
      <c r="A32" s="29" t="s">
        <v>45</v>
      </c>
      <c r="B32" s="29"/>
      <c r="C32" s="29"/>
      <c r="D32" s="29"/>
      <c r="E32" s="29"/>
      <c r="F32" s="29"/>
      <c r="G32" s="30">
        <f>B3*1.81*6+B3*1.86*6</f>
        <v>88157.07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678.24</v>
      </c>
    </row>
    <row r="34" spans="1:7" ht="16.5">
      <c r="A34" s="29" t="s">
        <v>47</v>
      </c>
      <c r="B34" s="29"/>
      <c r="C34" s="29"/>
      <c r="D34" s="29"/>
      <c r="E34" s="29"/>
      <c r="F34" s="29"/>
      <c r="G34" s="30">
        <f>B3*0.65*12</f>
        <v>31227.300000000003</v>
      </c>
    </row>
    <row r="35" spans="1:7" ht="16.5">
      <c r="A35" s="29" t="s">
        <v>48</v>
      </c>
      <c r="B35" s="29"/>
      <c r="C35" s="29"/>
      <c r="D35" s="29"/>
      <c r="E35" s="29"/>
      <c r="F35" s="29"/>
      <c r="G35" s="30">
        <f>B3*0.82*12</f>
        <v>39394.44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B3*0.95*12</f>
        <v>45639.9</v>
      </c>
    </row>
    <row r="37" spans="1:7" ht="16.5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563726.0126313026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5.75" hidden="1">
      <c r="A39" s="29" t="s">
        <v>52</v>
      </c>
      <c r="B39" s="29"/>
      <c r="C39" s="29"/>
      <c r="D39" s="29"/>
      <c r="E39" s="29"/>
      <c r="F39" s="29"/>
      <c r="G39" s="36">
        <f>B3*2.96*12</f>
        <v>142204.32</v>
      </c>
    </row>
    <row r="40" spans="1:7" ht="15.75">
      <c r="A40" s="29" t="s">
        <v>53</v>
      </c>
      <c r="B40" s="29"/>
      <c r="C40" s="29"/>
      <c r="D40" s="29"/>
      <c r="E40" s="29"/>
      <c r="F40" s="29"/>
      <c r="G40" s="36"/>
    </row>
    <row r="41" spans="1:7" ht="16.5">
      <c r="A41" s="37" t="s">
        <v>54</v>
      </c>
      <c r="B41" s="37"/>
      <c r="C41" s="37"/>
      <c r="D41" s="37"/>
      <c r="E41" s="37"/>
      <c r="F41" s="37"/>
      <c r="G41" s="36"/>
    </row>
    <row r="42" spans="1:7" ht="16.5">
      <c r="A42" s="37" t="s">
        <v>55</v>
      </c>
      <c r="B42" s="37"/>
      <c r="C42" s="37"/>
      <c r="D42" s="37"/>
      <c r="E42" s="37"/>
      <c r="F42" s="37"/>
      <c r="G42" s="36">
        <f>6057.47+622.24</f>
        <v>6679.71</v>
      </c>
    </row>
    <row r="43" spans="1:7" ht="16.5">
      <c r="A43" s="37" t="s">
        <v>56</v>
      </c>
      <c r="B43" s="37"/>
      <c r="C43" s="37"/>
      <c r="D43" s="37"/>
      <c r="E43" s="37"/>
      <c r="F43" s="37"/>
      <c r="G43" s="36"/>
    </row>
    <row r="44" spans="1:7" ht="16.5">
      <c r="A44" s="37" t="s">
        <v>57</v>
      </c>
      <c r="B44" s="37"/>
      <c r="C44" s="37"/>
      <c r="D44" s="37"/>
      <c r="E44" s="37"/>
      <c r="F44" s="37"/>
      <c r="G44" s="36">
        <v>9674.4</v>
      </c>
    </row>
    <row r="45" spans="1:7" ht="16.5">
      <c r="A45" s="37" t="s">
        <v>132</v>
      </c>
      <c r="B45" s="37"/>
      <c r="C45" s="37"/>
      <c r="D45" s="37"/>
      <c r="E45" s="37"/>
      <c r="F45" s="37"/>
      <c r="G45" s="36">
        <v>56.71</v>
      </c>
    </row>
    <row r="46" spans="1:7" ht="16.5">
      <c r="A46" s="37" t="s">
        <v>59</v>
      </c>
      <c r="B46" s="37"/>
      <c r="C46" s="37"/>
      <c r="D46" s="37"/>
      <c r="E46" s="37"/>
      <c r="F46" s="37"/>
      <c r="G46" s="36"/>
    </row>
    <row r="47" spans="1:7" ht="16.5">
      <c r="A47" s="37" t="s">
        <v>60</v>
      </c>
      <c r="B47" s="37"/>
      <c r="C47" s="37"/>
      <c r="D47" s="37"/>
      <c r="E47" s="37"/>
      <c r="F47" s="37"/>
      <c r="G47" s="30">
        <f>934.83+42.08</f>
        <v>976.9100000000001</v>
      </c>
    </row>
    <row r="48" spans="1:7" ht="16.5">
      <c r="A48" s="37" t="s">
        <v>61</v>
      </c>
      <c r="B48" s="37"/>
      <c r="C48" s="37"/>
      <c r="D48" s="37"/>
      <c r="E48" s="37"/>
      <c r="F48" s="37"/>
      <c r="G48" s="30">
        <v>11760.26</v>
      </c>
    </row>
    <row r="49" spans="1:7" ht="16.5" hidden="1">
      <c r="A49" s="37" t="s">
        <v>62</v>
      </c>
      <c r="B49" s="37"/>
      <c r="C49" s="37"/>
      <c r="D49" s="37"/>
      <c r="E49" s="37"/>
      <c r="F49" s="37"/>
      <c r="G49" s="30"/>
    </row>
    <row r="50" spans="1:7" ht="16.5" hidden="1">
      <c r="A50" s="37" t="s">
        <v>63</v>
      </c>
      <c r="B50" s="37"/>
      <c r="C50" s="37"/>
      <c r="D50" s="37"/>
      <c r="E50" s="37"/>
      <c r="F50" s="37"/>
      <c r="G50" s="30"/>
    </row>
    <row r="51" spans="1:7" ht="16.5" hidden="1">
      <c r="A51" s="37" t="s">
        <v>64</v>
      </c>
      <c r="B51" s="37"/>
      <c r="C51" s="37"/>
      <c r="D51" s="37"/>
      <c r="E51" s="37"/>
      <c r="F51" s="37"/>
      <c r="G51" s="30"/>
    </row>
    <row r="52" spans="1:7" ht="16.5">
      <c r="A52" s="37" t="s">
        <v>65</v>
      </c>
      <c r="B52" s="37"/>
      <c r="C52" s="37"/>
      <c r="D52" s="37"/>
      <c r="E52" s="37"/>
      <c r="F52" s="37"/>
      <c r="G52" s="30">
        <v>32739.28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61887.27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625613.2826313026</v>
      </c>
    </row>
    <row r="57" spans="1:7" ht="16.5">
      <c r="A57" s="29" t="s">
        <v>70</v>
      </c>
      <c r="B57" s="29"/>
      <c r="C57" s="29"/>
      <c r="D57" s="29"/>
      <c r="E57" s="29"/>
      <c r="F57" s="29"/>
      <c r="G57" s="36">
        <f>-4992.64</f>
        <v>-4992.64</v>
      </c>
    </row>
    <row r="58" spans="1:7" ht="15.75" customHeight="1">
      <c r="A58" s="40" t="s">
        <v>128</v>
      </c>
      <c r="B58" s="40"/>
      <c r="C58" s="40"/>
      <c r="D58" s="40"/>
      <c r="E58" s="40"/>
      <c r="F58" s="40"/>
      <c r="G58" s="39">
        <f>B3*B4*4+B3*B5*2+B3*B6*5+B3*B7*1+G59</f>
        <v>721250.2350000001</v>
      </c>
    </row>
    <row r="59" spans="1:7" ht="16.5">
      <c r="A59" s="41" t="s">
        <v>113</v>
      </c>
      <c r="B59" s="41"/>
      <c r="C59" s="41"/>
      <c r="D59" s="41"/>
      <c r="E59" s="41"/>
      <c r="F59" s="41"/>
      <c r="G59" s="36">
        <f>160*1*12+180*1*12+141.6*1*12+215.6*1*12+141.6*2*12+269*1*12</f>
        <v>14992.8</v>
      </c>
    </row>
    <row r="60" spans="1:7" ht="18.75" customHeight="1">
      <c r="A60" s="42" t="s">
        <v>73</v>
      </c>
      <c r="B60" s="42"/>
      <c r="C60" s="42"/>
      <c r="D60" s="42"/>
      <c r="E60" s="42"/>
      <c r="F60" s="42"/>
      <c r="G60" s="43">
        <v>37956.56</v>
      </c>
    </row>
    <row r="61" spans="1:7" ht="57.75" customHeight="1">
      <c r="A61" s="44" t="s">
        <v>138</v>
      </c>
      <c r="B61" s="44"/>
      <c r="C61" s="44"/>
      <c r="D61" s="44"/>
      <c r="E61" s="44"/>
      <c r="F61" s="44"/>
      <c r="G61" s="45">
        <f>G56-G58+G60-G57</f>
        <v>-52687.752368697504</v>
      </c>
    </row>
    <row r="64" ht="15.75">
      <c r="A64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G64"/>
  <sheetViews>
    <sheetView zoomScale="75" zoomScaleNormal="75" workbookViewId="0" topLeftCell="A7">
      <selection activeCell="G36" sqref="G36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57421875" style="1" customWidth="1"/>
    <col min="7" max="7" width="14.57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49.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139</v>
      </c>
      <c r="C2" s="7"/>
      <c r="D2" s="7"/>
      <c r="E2" s="7"/>
      <c r="F2" s="8" t="s">
        <v>3</v>
      </c>
      <c r="G2" s="9">
        <v>9</v>
      </c>
    </row>
    <row r="3" spans="1:7" ht="18.75">
      <c r="A3" s="6" t="s">
        <v>4</v>
      </c>
      <c r="B3" s="10">
        <v>4057.5</v>
      </c>
      <c r="F3" s="8" t="s">
        <v>5</v>
      </c>
      <c r="G3" s="11">
        <v>2</v>
      </c>
    </row>
    <row r="4" spans="1:7" ht="18.75">
      <c r="A4" s="12" t="s">
        <v>6</v>
      </c>
      <c r="B4" s="46">
        <v>12.74</v>
      </c>
      <c r="C4" s="1" t="s">
        <v>93</v>
      </c>
      <c r="F4" s="8" t="s">
        <v>8</v>
      </c>
      <c r="G4" s="9">
        <v>1980</v>
      </c>
    </row>
    <row r="5" spans="1:7" ht="18.75">
      <c r="A5" s="12" t="s">
        <v>6</v>
      </c>
      <c r="B5" s="46">
        <v>12.89</v>
      </c>
      <c r="C5" s="1" t="s">
        <v>94</v>
      </c>
      <c r="F5" s="8"/>
      <c r="G5" s="9"/>
    </row>
    <row r="6" spans="1:7" ht="18.75">
      <c r="A6" s="12" t="s">
        <v>6</v>
      </c>
      <c r="B6" s="46">
        <v>12.94</v>
      </c>
      <c r="C6" s="1" t="s">
        <v>10</v>
      </c>
      <c r="F6" s="8"/>
      <c r="G6" s="9"/>
    </row>
    <row r="7" spans="1:3" ht="18.75">
      <c r="A7" s="12" t="s">
        <v>6</v>
      </c>
      <c r="B7" s="46">
        <v>13.37</v>
      </c>
      <c r="C7" s="1" t="s">
        <v>95</v>
      </c>
    </row>
    <row r="8" spans="1:7" ht="18.75" hidden="1">
      <c r="A8" s="15" t="s">
        <v>12</v>
      </c>
      <c r="B8" s="16">
        <v>729.8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2</v>
      </c>
      <c r="C9" s="17" t="s">
        <v>136</v>
      </c>
      <c r="D9" s="17">
        <v>2</v>
      </c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970</v>
      </c>
      <c r="C11" s="18">
        <v>3360</v>
      </c>
      <c r="D11" s="18">
        <v>660</v>
      </c>
      <c r="E11" s="18">
        <v>3670</v>
      </c>
      <c r="F11" s="17"/>
      <c r="G11" s="17"/>
    </row>
    <row r="12" spans="1:7" ht="18.75" hidden="1">
      <c r="A12" s="15" t="s">
        <v>19</v>
      </c>
      <c r="B12" s="21">
        <v>0</v>
      </c>
      <c r="C12" s="17" t="s">
        <v>137</v>
      </c>
      <c r="D12" s="17"/>
      <c r="E12" s="17"/>
      <c r="F12" s="17"/>
      <c r="G12" s="17"/>
    </row>
    <row r="13" spans="1:7" ht="18.75" hidden="1">
      <c r="A13" s="15" t="s">
        <v>21</v>
      </c>
      <c r="B13" s="21">
        <v>538.2</v>
      </c>
      <c r="C13" s="21">
        <v>449.1</v>
      </c>
      <c r="D13" s="21">
        <f>B13+C13</f>
        <v>987.3000000000001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72</v>
      </c>
      <c r="C15" s="25">
        <v>72</v>
      </c>
      <c r="D15" s="25">
        <v>0</v>
      </c>
      <c r="E15" s="26">
        <f>D15+C15+B15</f>
        <v>144</v>
      </c>
      <c r="F15" s="18">
        <v>0</v>
      </c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0">
        <f>B8*7.012*12</f>
        <v>61408.29119999999</v>
      </c>
    </row>
    <row r="18" spans="1:7" ht="15.75">
      <c r="A18" s="29" t="s">
        <v>31</v>
      </c>
      <c r="B18" s="29"/>
      <c r="C18" s="29"/>
      <c r="D18" s="29"/>
      <c r="E18" s="29"/>
      <c r="F18" s="29"/>
      <c r="G18" s="30">
        <f>B9*35.705*12</f>
        <v>856.92</v>
      </c>
    </row>
    <row r="19" spans="1:7" ht="15.75" customHeight="1">
      <c r="A19" s="29" t="s">
        <v>32</v>
      </c>
      <c r="B19" s="29"/>
      <c r="C19" s="29"/>
      <c r="D19" s="29"/>
      <c r="E19" s="29"/>
      <c r="F19" s="29"/>
      <c r="G19" s="30">
        <f>B12*0.3613*12</f>
        <v>0</v>
      </c>
    </row>
    <row r="20" spans="1:7" ht="15.75" customHeight="1">
      <c r="A20" s="29" t="s">
        <v>33</v>
      </c>
      <c r="B20" s="29"/>
      <c r="C20" s="29"/>
      <c r="D20" s="29"/>
      <c r="E20" s="29"/>
      <c r="F20" s="29"/>
      <c r="G20" s="30">
        <f>(B11*9.46/100*189)+(C11*7.09/100*113)+(D11*23.66/100*71)+(E11*1.77/100*12)</f>
        <v>56128.914000000004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28593.598602912552</v>
      </c>
    </row>
    <row r="22" spans="1:7" ht="15.75">
      <c r="A22" s="29" t="s">
        <v>35</v>
      </c>
      <c r="B22" s="29"/>
      <c r="C22" s="29"/>
      <c r="D22" s="29"/>
      <c r="E22" s="29"/>
      <c r="F22" s="29"/>
      <c r="G22" s="30">
        <f>D13*0.135*6+1729.17</f>
        <v>2528.8830000000003</v>
      </c>
    </row>
    <row r="23" spans="1:7" ht="16.5">
      <c r="A23" s="29" t="s">
        <v>36</v>
      </c>
      <c r="B23" s="29"/>
      <c r="C23" s="29"/>
      <c r="D23" s="29"/>
      <c r="E23" s="29"/>
      <c r="F23" s="29"/>
      <c r="G23" s="30">
        <f>114.94+4396.68+632.2+215.52+3620.71</f>
        <v>8980.05</v>
      </c>
    </row>
    <row r="24" spans="1:7" ht="15.75">
      <c r="A24" s="29" t="s">
        <v>37</v>
      </c>
      <c r="B24" s="29"/>
      <c r="C24" s="29"/>
      <c r="D24" s="29"/>
      <c r="E24" s="29"/>
      <c r="F24" s="29"/>
      <c r="G24" s="30">
        <f>B3*0.885*12</f>
        <v>43090.649999999994</v>
      </c>
    </row>
    <row r="25" spans="1:7" ht="16.5">
      <c r="A25" s="29" t="s">
        <v>87</v>
      </c>
      <c r="B25" s="29"/>
      <c r="C25" s="29"/>
      <c r="D25" s="29"/>
      <c r="E25" s="29"/>
      <c r="F25" s="29"/>
      <c r="G25" s="30">
        <f>B3*2.648*4+B3*2.245*8</f>
        <v>115849.73999999999</v>
      </c>
    </row>
    <row r="26" spans="1:7" ht="15.75">
      <c r="A26" s="29" t="s">
        <v>39</v>
      </c>
      <c r="B26" s="29"/>
      <c r="C26" s="29"/>
      <c r="D26" s="29"/>
      <c r="E26" s="29"/>
      <c r="F26" s="29"/>
      <c r="G26" s="30">
        <f>2*9990</f>
        <v>19980</v>
      </c>
    </row>
    <row r="27" spans="1:7" ht="15.75">
      <c r="A27" s="29" t="s">
        <v>40</v>
      </c>
      <c r="B27" s="29"/>
      <c r="C27" s="29"/>
      <c r="D27" s="29"/>
      <c r="E27" s="29"/>
      <c r="F27" s="29"/>
      <c r="G27" s="30">
        <f>2*1209</f>
        <v>2418</v>
      </c>
    </row>
    <row r="28" spans="1:7" ht="15.75">
      <c r="A28" s="29" t="s">
        <v>41</v>
      </c>
      <c r="B28" s="29"/>
      <c r="C28" s="29"/>
      <c r="D28" s="29"/>
      <c r="E28" s="29"/>
      <c r="F28" s="29"/>
      <c r="G28" s="30">
        <f>8448+3017.52+539.12</f>
        <v>12004.640000000001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 customHeight="1">
      <c r="A32" s="29" t="s">
        <v>45</v>
      </c>
      <c r="B32" s="29"/>
      <c r="C32" s="29"/>
      <c r="D32" s="29"/>
      <c r="E32" s="29"/>
      <c r="F32" s="29"/>
      <c r="G32" s="30">
        <f>B3*1.81*6+B3*1.86*6</f>
        <v>89346.15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678.24</v>
      </c>
    </row>
    <row r="34" spans="1:7" ht="15.75">
      <c r="A34" s="29" t="s">
        <v>47</v>
      </c>
      <c r="B34" s="29"/>
      <c r="C34" s="29"/>
      <c r="D34" s="29"/>
      <c r="E34" s="29"/>
      <c r="F34" s="29"/>
      <c r="G34" s="30">
        <f>B3*0.65*12</f>
        <v>31648.5</v>
      </c>
    </row>
    <row r="35" spans="1:7" ht="15.75">
      <c r="A35" s="29" t="s">
        <v>48</v>
      </c>
      <c r="B35" s="29"/>
      <c r="C35" s="29"/>
      <c r="D35" s="29"/>
      <c r="E35" s="29"/>
      <c r="F35" s="29"/>
      <c r="G35" s="30">
        <f>B3*0.82*12</f>
        <v>39925.8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B3*0.9*12</f>
        <v>43821</v>
      </c>
    </row>
    <row r="37" spans="1:7" ht="15.75" customHeight="1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557259.3768029124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5.75" hidden="1">
      <c r="A39" s="29" t="s">
        <v>52</v>
      </c>
      <c r="B39" s="29"/>
      <c r="C39" s="29"/>
      <c r="D39" s="29"/>
      <c r="E39" s="29"/>
      <c r="F39" s="29"/>
      <c r="G39" s="30">
        <f>B3*2.96*12</f>
        <v>144122.40000000002</v>
      </c>
    </row>
    <row r="40" spans="1:7" ht="15.75">
      <c r="A40" s="29" t="s">
        <v>53</v>
      </c>
      <c r="B40" s="29"/>
      <c r="C40" s="29"/>
      <c r="D40" s="29"/>
      <c r="E40" s="29"/>
      <c r="F40" s="29"/>
      <c r="G40" s="30"/>
    </row>
    <row r="41" spans="1:7" ht="17.25">
      <c r="A41" s="37" t="s">
        <v>54</v>
      </c>
      <c r="B41" s="37"/>
      <c r="C41" s="37"/>
      <c r="D41" s="37"/>
      <c r="E41" s="37"/>
      <c r="F41" s="37"/>
      <c r="G41" s="30"/>
    </row>
    <row r="42" spans="1:7" ht="17.25">
      <c r="A42" s="37" t="s">
        <v>55</v>
      </c>
      <c r="B42" s="37"/>
      <c r="C42" s="37"/>
      <c r="D42" s="37"/>
      <c r="E42" s="37"/>
      <c r="F42" s="37"/>
      <c r="G42" s="30">
        <f>3074.87+736.15+2345.83+764.07</f>
        <v>6920.92</v>
      </c>
    </row>
    <row r="43" spans="1:7" ht="17.25">
      <c r="A43" s="37" t="s">
        <v>56</v>
      </c>
      <c r="B43" s="37"/>
      <c r="C43" s="37"/>
      <c r="D43" s="37"/>
      <c r="E43" s="37"/>
      <c r="F43" s="37"/>
      <c r="G43" s="30">
        <v>1149.33</v>
      </c>
    </row>
    <row r="44" spans="1:7" ht="17.25">
      <c r="A44" s="37" t="s">
        <v>57</v>
      </c>
      <c r="B44" s="37"/>
      <c r="C44" s="37"/>
      <c r="D44" s="37"/>
      <c r="E44" s="37"/>
      <c r="F44" s="37"/>
      <c r="G44" s="30">
        <f>17414.02+38536.36</f>
        <v>55950.380000000005</v>
      </c>
    </row>
    <row r="45" spans="1:7" ht="17.25" hidden="1">
      <c r="A45" s="37" t="s">
        <v>58</v>
      </c>
      <c r="B45" s="37"/>
      <c r="C45" s="37"/>
      <c r="D45" s="37"/>
      <c r="E45" s="37"/>
      <c r="F45" s="37"/>
      <c r="G45" s="30"/>
    </row>
    <row r="46" spans="1:7" ht="16.5" hidden="1">
      <c r="A46" s="37" t="s">
        <v>59</v>
      </c>
      <c r="B46" s="37"/>
      <c r="C46" s="37"/>
      <c r="D46" s="37"/>
      <c r="E46" s="37"/>
      <c r="F46" s="37"/>
      <c r="G46" s="30"/>
    </row>
    <row r="47" spans="1:7" ht="16.5">
      <c r="A47" s="37" t="s">
        <v>60</v>
      </c>
      <c r="B47" s="37"/>
      <c r="C47" s="37"/>
      <c r="D47" s="37"/>
      <c r="E47" s="37"/>
      <c r="F47" s="37"/>
      <c r="G47" s="30">
        <f>848.45+1576.06+42.08+42.08</f>
        <v>2508.67</v>
      </c>
    </row>
    <row r="48" spans="1:7" ht="16.5">
      <c r="A48" s="37" t="s">
        <v>61</v>
      </c>
      <c r="B48" s="37"/>
      <c r="C48" s="37"/>
      <c r="D48" s="37"/>
      <c r="E48" s="37"/>
      <c r="F48" s="37"/>
      <c r="G48" s="30">
        <f>1611.63+9450.21+7560.17</f>
        <v>18622.010000000002</v>
      </c>
    </row>
    <row r="49" spans="1:7" ht="17.25">
      <c r="A49" s="37" t="s">
        <v>62</v>
      </c>
      <c r="B49" s="37"/>
      <c r="C49" s="37"/>
      <c r="D49" s="37"/>
      <c r="E49" s="37"/>
      <c r="F49" s="37"/>
      <c r="G49" s="30"/>
    </row>
    <row r="50" spans="1:7" ht="17.25">
      <c r="A50" s="37" t="s">
        <v>125</v>
      </c>
      <c r="B50" s="37"/>
      <c r="C50" s="37"/>
      <c r="D50" s="37"/>
      <c r="E50" s="37"/>
      <c r="F50" s="37"/>
      <c r="G50" s="30">
        <v>1703.84</v>
      </c>
    </row>
    <row r="51" spans="1:7" ht="17.25" hidden="1">
      <c r="A51" s="37" t="s">
        <v>64</v>
      </c>
      <c r="B51" s="37"/>
      <c r="C51" s="37"/>
      <c r="D51" s="37"/>
      <c r="E51" s="37"/>
      <c r="F51" s="37"/>
      <c r="G51" s="30"/>
    </row>
    <row r="52" spans="1:7" ht="17.25">
      <c r="A52" s="37" t="s">
        <v>65</v>
      </c>
      <c r="B52" s="37"/>
      <c r="C52" s="37"/>
      <c r="D52" s="37"/>
      <c r="E52" s="37"/>
      <c r="F52" s="37"/>
      <c r="G52" s="30">
        <v>44801.12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131656.27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688915.6468029125</v>
      </c>
    </row>
    <row r="57" spans="1:7" ht="16.5">
      <c r="A57" s="29" t="s">
        <v>70</v>
      </c>
      <c r="B57" s="29"/>
      <c r="C57" s="29"/>
      <c r="D57" s="29"/>
      <c r="E57" s="29"/>
      <c r="F57" s="29"/>
      <c r="G57" s="36">
        <v>-2500.86</v>
      </c>
    </row>
    <row r="58" spans="1:7" ht="15.75" customHeight="1">
      <c r="A58" s="40" t="s">
        <v>71</v>
      </c>
      <c r="B58" s="40"/>
      <c r="C58" s="40"/>
      <c r="D58" s="40"/>
      <c r="E58" s="40"/>
      <c r="F58" s="40"/>
      <c r="G58" s="39">
        <f>B3*B4*4+B3*B5*2+B3*B6*5+B3*B7*1+G59</f>
        <v>648282.3750000001</v>
      </c>
    </row>
    <row r="59" spans="1:7" ht="17.25" customHeight="1">
      <c r="A59" s="41" t="s">
        <v>140</v>
      </c>
      <c r="B59" s="41"/>
      <c r="C59" s="41"/>
      <c r="D59" s="41"/>
      <c r="E59" s="41"/>
      <c r="F59" s="41"/>
      <c r="G59" s="39">
        <f>160*2*12+180*1*12+141.6*1*12+215.6*1*12+141.6*2*12+269*2*12</f>
        <v>20140.8</v>
      </c>
    </row>
    <row r="60" spans="1:7" ht="22.5" customHeight="1">
      <c r="A60" s="42" t="s">
        <v>73</v>
      </c>
      <c r="B60" s="42"/>
      <c r="C60" s="42"/>
      <c r="D60" s="42"/>
      <c r="E60" s="42"/>
      <c r="F60" s="42"/>
      <c r="G60" s="43">
        <v>41884.25</v>
      </c>
    </row>
    <row r="61" spans="1:7" ht="69.75" customHeight="1">
      <c r="A61" s="44" t="s">
        <v>141</v>
      </c>
      <c r="B61" s="44"/>
      <c r="C61" s="44"/>
      <c r="D61" s="44"/>
      <c r="E61" s="44"/>
      <c r="F61" s="44"/>
      <c r="G61" s="45">
        <f>G56-G58+G60-G57</f>
        <v>85018.38180291235</v>
      </c>
    </row>
    <row r="64" ht="15.75">
      <c r="A64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.29305555555555557" bottom="0" header="0.5118055555555555" footer="0.5118055555555555"/>
  <pageSetup horizontalDpi="300" verticalDpi="300" orientation="portrait" paperSize="9" scale="9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G65"/>
  <sheetViews>
    <sheetView zoomScale="75" zoomScaleNormal="75" workbookViewId="0" topLeftCell="A16">
      <selection activeCell="G25" sqref="G25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57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48.7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142</v>
      </c>
      <c r="C2" s="7"/>
      <c r="D2" s="7"/>
      <c r="E2" s="7"/>
      <c r="F2" s="8" t="s">
        <v>3</v>
      </c>
      <c r="G2" s="9">
        <v>9</v>
      </c>
    </row>
    <row r="3" spans="1:7" ht="18.75">
      <c r="A3" s="6" t="s">
        <v>4</v>
      </c>
      <c r="B3" s="10">
        <v>4032.7</v>
      </c>
      <c r="F3" s="8" t="s">
        <v>5</v>
      </c>
      <c r="G3" s="11">
        <v>2</v>
      </c>
    </row>
    <row r="4" spans="1:7" ht="18.75">
      <c r="A4" s="12" t="s">
        <v>6</v>
      </c>
      <c r="B4" s="46">
        <v>14.53</v>
      </c>
      <c r="C4" s="1" t="s">
        <v>93</v>
      </c>
      <c r="F4" s="8" t="s">
        <v>8</v>
      </c>
      <c r="G4" s="9">
        <v>1981</v>
      </c>
    </row>
    <row r="5" spans="1:7" ht="18.75">
      <c r="A5" s="12" t="s">
        <v>6</v>
      </c>
      <c r="B5" s="46">
        <v>14.68</v>
      </c>
      <c r="C5" s="1" t="s">
        <v>94</v>
      </c>
      <c r="F5" s="8"/>
      <c r="G5" s="9"/>
    </row>
    <row r="6" spans="1:7" ht="18.75">
      <c r="A6" s="12" t="s">
        <v>6</v>
      </c>
      <c r="B6" s="46">
        <v>14.73</v>
      </c>
      <c r="C6" s="1" t="s">
        <v>10</v>
      </c>
      <c r="F6" s="8"/>
      <c r="G6" s="9"/>
    </row>
    <row r="7" spans="1:3" ht="18.75">
      <c r="A7" s="12" t="s">
        <v>6</v>
      </c>
      <c r="B7" s="46">
        <v>15.28</v>
      </c>
      <c r="C7" s="1" t="s">
        <v>95</v>
      </c>
    </row>
    <row r="8" spans="1:7" ht="18.75" hidden="1">
      <c r="A8" s="15" t="s">
        <v>12</v>
      </c>
      <c r="B8" s="16">
        <v>769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2</v>
      </c>
      <c r="C9" s="17" t="s">
        <v>136</v>
      </c>
      <c r="D9" s="17">
        <v>2</v>
      </c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1180</v>
      </c>
      <c r="C11" s="18">
        <v>1520</v>
      </c>
      <c r="D11" s="18">
        <v>750</v>
      </c>
      <c r="E11" s="18">
        <v>1646</v>
      </c>
      <c r="F11" s="17"/>
      <c r="G11" s="17"/>
    </row>
    <row r="12" spans="1:7" ht="18.75" hidden="1">
      <c r="A12" s="15" t="s">
        <v>19</v>
      </c>
      <c r="B12" s="21">
        <v>0</v>
      </c>
      <c r="C12" s="17" t="s">
        <v>137</v>
      </c>
      <c r="D12" s="17"/>
      <c r="E12" s="17"/>
      <c r="F12" s="17"/>
      <c r="G12" s="17"/>
    </row>
    <row r="13" spans="1:7" ht="18.75" hidden="1">
      <c r="A13" s="15" t="s">
        <v>21</v>
      </c>
      <c r="B13" s="21">
        <v>537.2</v>
      </c>
      <c r="C13" s="21">
        <v>449.9</v>
      </c>
      <c r="D13" s="21">
        <f>B13+C13</f>
        <v>987.1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72</v>
      </c>
      <c r="C15" s="25">
        <v>0</v>
      </c>
      <c r="D15" s="25">
        <v>72</v>
      </c>
      <c r="E15" s="26">
        <f>D15+C15+B15</f>
        <v>144</v>
      </c>
      <c r="F15" s="18">
        <v>0</v>
      </c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0">
        <f>B8*8.689*12</f>
        <v>80182.092</v>
      </c>
    </row>
    <row r="18" spans="1:7" ht="15.75">
      <c r="A18" s="29" t="s">
        <v>31</v>
      </c>
      <c r="B18" s="29"/>
      <c r="C18" s="29"/>
      <c r="D18" s="29"/>
      <c r="E18" s="29"/>
      <c r="F18" s="29"/>
      <c r="G18" s="30">
        <f>B9*19.029*12</f>
        <v>456.696</v>
      </c>
    </row>
    <row r="19" spans="1:7" ht="15.75" customHeight="1">
      <c r="A19" s="29" t="s">
        <v>85</v>
      </c>
      <c r="B19" s="29"/>
      <c r="C19" s="29"/>
      <c r="D19" s="29"/>
      <c r="E19" s="29"/>
      <c r="F19" s="29"/>
      <c r="G19" s="30">
        <f>B12*0.3613*12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0">
        <f>(B11*12.84/100*189)+(C11*9.63/100*113)+(D11*32.11/100*71)+(E11*2.41/100*12)</f>
        <v>62750.85420000001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28418.830581876882</v>
      </c>
    </row>
    <row r="22" spans="1:7" ht="15.75">
      <c r="A22" s="29" t="s">
        <v>35</v>
      </c>
      <c r="B22" s="29"/>
      <c r="C22" s="29"/>
      <c r="D22" s="29"/>
      <c r="E22" s="29"/>
      <c r="F22" s="29"/>
      <c r="G22" s="30">
        <f>D13*0.135*6</f>
        <v>799.5509999999999</v>
      </c>
    </row>
    <row r="23" spans="1:7" ht="16.5">
      <c r="A23" s="29" t="s">
        <v>36</v>
      </c>
      <c r="B23" s="29"/>
      <c r="C23" s="29"/>
      <c r="D23" s="29"/>
      <c r="E23" s="29"/>
      <c r="F23" s="29"/>
      <c r="G23" s="30">
        <f>114.94+4396.68+632.2+215.52+3620.71</f>
        <v>8980.05</v>
      </c>
    </row>
    <row r="24" spans="1:7" ht="15.75">
      <c r="A24" s="29" t="s">
        <v>37</v>
      </c>
      <c r="B24" s="29"/>
      <c r="C24" s="29"/>
      <c r="D24" s="29"/>
      <c r="E24" s="29"/>
      <c r="F24" s="29"/>
      <c r="G24" s="30">
        <f>B3*0.885*12</f>
        <v>42827.274</v>
      </c>
    </row>
    <row r="25" spans="1:7" ht="16.5">
      <c r="A25" s="29" t="s">
        <v>87</v>
      </c>
      <c r="B25" s="29"/>
      <c r="C25" s="29"/>
      <c r="D25" s="29"/>
      <c r="E25" s="29"/>
      <c r="F25" s="29"/>
      <c r="G25" s="30">
        <f>B3*2.648*4+B3*2.245*8</f>
        <v>115141.6504</v>
      </c>
    </row>
    <row r="26" spans="1:7" ht="15.75">
      <c r="A26" s="29" t="s">
        <v>39</v>
      </c>
      <c r="B26" s="29"/>
      <c r="C26" s="29"/>
      <c r="D26" s="29"/>
      <c r="E26" s="29"/>
      <c r="F26" s="29"/>
      <c r="G26" s="30">
        <f>9990*2</f>
        <v>19980</v>
      </c>
    </row>
    <row r="27" spans="1:7" ht="15.75">
      <c r="A27" s="29" t="s">
        <v>40</v>
      </c>
      <c r="B27" s="29"/>
      <c r="C27" s="29"/>
      <c r="D27" s="29"/>
      <c r="E27" s="29"/>
      <c r="F27" s="29"/>
      <c r="G27" s="30">
        <f>1209*2</f>
        <v>2418</v>
      </c>
    </row>
    <row r="28" spans="1:7" ht="15.75">
      <c r="A28" s="29" t="s">
        <v>41</v>
      </c>
      <c r="B28" s="29"/>
      <c r="C28" s="29"/>
      <c r="D28" s="29"/>
      <c r="E28" s="29"/>
      <c r="F28" s="29"/>
      <c r="G28" s="30">
        <f>8448+3017.52+808.68</f>
        <v>12274.2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0">
        <f>B3*1.81*6+B3*1.86*6</f>
        <v>88800.054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678.24</v>
      </c>
    </row>
    <row r="34" spans="1:7" ht="15.75">
      <c r="A34" s="29" t="s">
        <v>47</v>
      </c>
      <c r="B34" s="29"/>
      <c r="C34" s="29"/>
      <c r="D34" s="29"/>
      <c r="E34" s="29"/>
      <c r="F34" s="29"/>
      <c r="G34" s="30">
        <f>B3*0.65*12</f>
        <v>31455.06</v>
      </c>
    </row>
    <row r="35" spans="1:7" ht="15.75">
      <c r="A35" s="29" t="s">
        <v>48</v>
      </c>
      <c r="B35" s="29"/>
      <c r="C35" s="29"/>
      <c r="D35" s="29"/>
      <c r="E35" s="29"/>
      <c r="F35" s="29"/>
      <c r="G35" s="30">
        <f>B3*0.82*12</f>
        <v>39681.768000000004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B3*0.95*12</f>
        <v>45972.78</v>
      </c>
    </row>
    <row r="37" spans="1:7" ht="15.7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580817.1001818769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5.75" hidden="1">
      <c r="A39" s="29" t="s">
        <v>52</v>
      </c>
      <c r="B39" s="29"/>
      <c r="C39" s="29"/>
      <c r="D39" s="29"/>
      <c r="E39" s="29"/>
      <c r="F39" s="29"/>
      <c r="G39" s="30">
        <f>B3*2.96*12</f>
        <v>143241.504</v>
      </c>
    </row>
    <row r="40" spans="1:7" ht="15.75">
      <c r="A40" s="29" t="s">
        <v>53</v>
      </c>
      <c r="B40" s="29"/>
      <c r="C40" s="29"/>
      <c r="D40" s="29"/>
      <c r="E40" s="29"/>
      <c r="F40" s="29"/>
      <c r="G40" s="30"/>
    </row>
    <row r="41" spans="1:7" ht="15.75">
      <c r="A41" s="37" t="s">
        <v>54</v>
      </c>
      <c r="B41" s="37"/>
      <c r="C41" s="37"/>
      <c r="D41" s="37"/>
      <c r="E41" s="37"/>
      <c r="F41" s="37"/>
      <c r="G41" s="30"/>
    </row>
    <row r="42" spans="1:7" ht="16.5">
      <c r="A42" s="37" t="s">
        <v>55</v>
      </c>
      <c r="B42" s="37"/>
      <c r="C42" s="37"/>
      <c r="D42" s="37"/>
      <c r="E42" s="37"/>
      <c r="F42" s="37"/>
      <c r="G42" s="30">
        <v>1272.68</v>
      </c>
    </row>
    <row r="43" spans="1:7" ht="16.5">
      <c r="A43" s="37" t="s">
        <v>56</v>
      </c>
      <c r="B43" s="37"/>
      <c r="C43" s="37"/>
      <c r="D43" s="37"/>
      <c r="E43" s="37"/>
      <c r="F43" s="37"/>
      <c r="G43" s="30">
        <v>990.88</v>
      </c>
    </row>
    <row r="44" spans="1:7" ht="16.5">
      <c r="A44" s="37" t="s">
        <v>57</v>
      </c>
      <c r="B44" s="37"/>
      <c r="C44" s="37"/>
      <c r="D44" s="37"/>
      <c r="E44" s="37"/>
      <c r="F44" s="37"/>
      <c r="G44" s="30">
        <v>35868.6</v>
      </c>
    </row>
    <row r="45" spans="1:7" ht="16.5" hidden="1">
      <c r="A45" s="37" t="s">
        <v>58</v>
      </c>
      <c r="B45" s="37"/>
      <c r="C45" s="37"/>
      <c r="D45" s="37"/>
      <c r="E45" s="37"/>
      <c r="F45" s="37"/>
      <c r="G45" s="30"/>
    </row>
    <row r="46" spans="1:7" ht="16.5" hidden="1">
      <c r="A46" s="37" t="s">
        <v>59</v>
      </c>
      <c r="B46" s="37"/>
      <c r="C46" s="37"/>
      <c r="D46" s="37"/>
      <c r="E46" s="37"/>
      <c r="F46" s="37"/>
      <c r="G46" s="30"/>
    </row>
    <row r="47" spans="1:7" ht="16.5">
      <c r="A47" s="37" t="s">
        <v>60</v>
      </c>
      <c r="B47" s="37"/>
      <c r="C47" s="37"/>
      <c r="D47" s="37"/>
      <c r="E47" s="37"/>
      <c r="F47" s="37"/>
      <c r="G47" s="30">
        <f>42.08+2390.57</f>
        <v>2432.65</v>
      </c>
    </row>
    <row r="48" spans="1:7" ht="16.5">
      <c r="A48" s="37" t="s">
        <v>61</v>
      </c>
      <c r="B48" s="37"/>
      <c r="C48" s="37"/>
      <c r="D48" s="37"/>
      <c r="E48" s="37"/>
      <c r="F48" s="37"/>
      <c r="G48" s="36">
        <v>3780.08</v>
      </c>
    </row>
    <row r="49" spans="1:7" ht="17.25">
      <c r="A49" s="37" t="s">
        <v>62</v>
      </c>
      <c r="B49" s="37"/>
      <c r="C49" s="37"/>
      <c r="D49" s="37"/>
      <c r="E49" s="37"/>
      <c r="F49" s="37"/>
      <c r="G49" s="36"/>
    </row>
    <row r="50" spans="1:7" ht="17.25" hidden="1">
      <c r="A50" s="37" t="s">
        <v>63</v>
      </c>
      <c r="B50" s="37"/>
      <c r="C50" s="37"/>
      <c r="D50" s="37"/>
      <c r="E50" s="37"/>
      <c r="F50" s="37"/>
      <c r="G50" s="36"/>
    </row>
    <row r="51" spans="1:7" ht="17.25" hidden="1">
      <c r="A51" s="37" t="s">
        <v>64</v>
      </c>
      <c r="B51" s="37"/>
      <c r="C51" s="37"/>
      <c r="D51" s="37"/>
      <c r="E51" s="37"/>
      <c r="F51" s="37"/>
      <c r="G51" s="36"/>
    </row>
    <row r="52" spans="1:7" ht="17.25">
      <c r="A52" s="37" t="s">
        <v>65</v>
      </c>
      <c r="B52" s="37"/>
      <c r="C52" s="37"/>
      <c r="D52" s="37"/>
      <c r="E52" s="37"/>
      <c r="F52" s="37"/>
      <c r="G52" s="36">
        <v>38770.2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83115.09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663932.1901818769</v>
      </c>
    </row>
    <row r="57" spans="1:7" ht="16.5">
      <c r="A57" s="29" t="s">
        <v>70</v>
      </c>
      <c r="B57" s="29"/>
      <c r="C57" s="29"/>
      <c r="D57" s="29"/>
      <c r="E57" s="29"/>
      <c r="F57" s="29"/>
      <c r="G57" s="36">
        <v>-5010.91</v>
      </c>
    </row>
    <row r="58" spans="1:7" ht="15.75" customHeight="1">
      <c r="A58" s="40" t="s">
        <v>128</v>
      </c>
      <c r="B58" s="40"/>
      <c r="C58" s="40"/>
      <c r="D58" s="40"/>
      <c r="E58" s="40"/>
      <c r="F58" s="40"/>
      <c r="G58" s="39">
        <f>B3*B4*4+B3*B5*2+B3*B6*5+B3*B7*1+G59</f>
        <v>723003.0069999999</v>
      </c>
    </row>
    <row r="59" spans="1:7" ht="16.5">
      <c r="A59" s="41" t="s">
        <v>140</v>
      </c>
      <c r="B59" s="41"/>
      <c r="C59" s="41"/>
      <c r="D59" s="41"/>
      <c r="E59" s="41"/>
      <c r="F59" s="41"/>
      <c r="G59" s="39">
        <f>160*1*12+180*1*12+141.6*1*12+215.6*1*12+269*1*12</f>
        <v>11594.4</v>
      </c>
    </row>
    <row r="60" spans="1:7" ht="21.75" customHeight="1">
      <c r="A60" s="42" t="s">
        <v>73</v>
      </c>
      <c r="B60" s="42"/>
      <c r="C60" s="42"/>
      <c r="D60" s="42"/>
      <c r="E60" s="42"/>
      <c r="F60" s="42"/>
      <c r="G60" s="47">
        <v>36345</v>
      </c>
    </row>
    <row r="61" spans="1:7" ht="60.75" customHeight="1">
      <c r="A61" s="44" t="s">
        <v>110</v>
      </c>
      <c r="B61" s="44"/>
      <c r="C61" s="44"/>
      <c r="D61" s="44"/>
      <c r="E61" s="44"/>
      <c r="F61" s="44"/>
      <c r="G61" s="45">
        <f>G56-G58+G60-G57</f>
        <v>-17714.906818122985</v>
      </c>
    </row>
    <row r="65" ht="15.7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</sheetPr>
  <dimension ref="A1:G66"/>
  <sheetViews>
    <sheetView zoomScale="75" zoomScaleNormal="75" workbookViewId="0" topLeftCell="A2">
      <selection activeCell="G21" sqref="G21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57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62.2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143</v>
      </c>
      <c r="C2" s="7"/>
      <c r="D2" s="7"/>
      <c r="E2" s="7"/>
      <c r="F2" s="8" t="s">
        <v>3</v>
      </c>
      <c r="G2" s="9">
        <v>9</v>
      </c>
    </row>
    <row r="3" spans="1:7" ht="18.75">
      <c r="A3" s="6" t="s">
        <v>4</v>
      </c>
      <c r="B3" s="10">
        <v>1880.1</v>
      </c>
      <c r="F3" s="8" t="s">
        <v>5</v>
      </c>
      <c r="G3" s="11">
        <v>1</v>
      </c>
    </row>
    <row r="4" spans="1:7" ht="18.75">
      <c r="A4" s="12" t="s">
        <v>6</v>
      </c>
      <c r="B4" s="46">
        <v>12.74</v>
      </c>
      <c r="C4" s="1" t="s">
        <v>93</v>
      </c>
      <c r="F4" s="8" t="s">
        <v>8</v>
      </c>
      <c r="G4" s="9">
        <v>1982</v>
      </c>
    </row>
    <row r="5" spans="1:7" ht="18.75">
      <c r="A5" s="12" t="s">
        <v>6</v>
      </c>
      <c r="B5" s="46">
        <v>12.89</v>
      </c>
      <c r="C5" s="1" t="s">
        <v>94</v>
      </c>
      <c r="F5" s="8"/>
      <c r="G5" s="9"/>
    </row>
    <row r="6" spans="1:7" ht="18.75">
      <c r="A6" s="12" t="s">
        <v>6</v>
      </c>
      <c r="B6" s="46">
        <v>12.94</v>
      </c>
      <c r="C6" s="1" t="s">
        <v>10</v>
      </c>
      <c r="F6" s="8"/>
      <c r="G6" s="9"/>
    </row>
    <row r="7" spans="1:3" ht="18.75">
      <c r="A7" s="12" t="s">
        <v>6</v>
      </c>
      <c r="B7" s="46">
        <v>13.37</v>
      </c>
      <c r="C7" s="1" t="s">
        <v>95</v>
      </c>
    </row>
    <row r="8" spans="1:7" ht="18.75" hidden="1">
      <c r="A8" s="15" t="s">
        <v>12</v>
      </c>
      <c r="B8" s="16">
        <v>345.2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1</v>
      </c>
      <c r="C9" s="17" t="s">
        <v>136</v>
      </c>
      <c r="D9" s="17">
        <v>1</v>
      </c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850</v>
      </c>
      <c r="C11" s="18">
        <v>940</v>
      </c>
      <c r="D11" s="18">
        <v>460</v>
      </c>
      <c r="E11" s="18">
        <v>1228</v>
      </c>
      <c r="F11" s="17"/>
      <c r="G11" s="17"/>
    </row>
    <row r="12" spans="1:7" ht="18.75" hidden="1">
      <c r="A12" s="15" t="s">
        <v>19</v>
      </c>
      <c r="B12" s="21">
        <v>1880.1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268.2</v>
      </c>
      <c r="C13" s="21">
        <v>223.2</v>
      </c>
      <c r="D13" s="21">
        <f>B13+C13</f>
        <v>491.4</v>
      </c>
      <c r="E13" s="17"/>
      <c r="F13" s="17"/>
      <c r="G13" s="17"/>
    </row>
    <row r="14" spans="1:7" ht="48.75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36</v>
      </c>
      <c r="C15" s="25">
        <v>0</v>
      </c>
      <c r="D15" s="25">
        <v>36</v>
      </c>
      <c r="E15" s="26">
        <f>D15+C15+B15</f>
        <v>72</v>
      </c>
      <c r="F15" s="18">
        <v>0</v>
      </c>
      <c r="G15" s="17"/>
    </row>
    <row r="16" spans="1:7" ht="16.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6.5">
      <c r="A17" s="29" t="s">
        <v>30</v>
      </c>
      <c r="B17" s="29"/>
      <c r="C17" s="29"/>
      <c r="D17" s="29"/>
      <c r="E17" s="29"/>
      <c r="F17" s="29"/>
      <c r="G17" s="30">
        <f>B8*7.012*12</f>
        <v>29046.508799999996</v>
      </c>
    </row>
    <row r="18" spans="1:7" ht="16.5">
      <c r="A18" s="29" t="s">
        <v>31</v>
      </c>
      <c r="B18" s="29"/>
      <c r="C18" s="29"/>
      <c r="D18" s="29"/>
      <c r="E18" s="29"/>
      <c r="F18" s="29"/>
      <c r="G18" s="30">
        <f>B9*35.705*12</f>
        <v>428.46</v>
      </c>
    </row>
    <row r="19" spans="1:7" ht="15.75" customHeight="1">
      <c r="A19" s="29" t="s">
        <v>85</v>
      </c>
      <c r="B19" s="29"/>
      <c r="C19" s="29"/>
      <c r="D19" s="29"/>
      <c r="E19" s="29"/>
      <c r="F19" s="29"/>
      <c r="G19" s="30">
        <f>B12*0.3613*12</f>
        <v>8151.361559999999</v>
      </c>
    </row>
    <row r="20" spans="1:7" ht="16.5">
      <c r="A20" s="29" t="s">
        <v>33</v>
      </c>
      <c r="B20" s="29"/>
      <c r="C20" s="29"/>
      <c r="D20" s="29"/>
      <c r="E20" s="29"/>
      <c r="F20" s="29"/>
      <c r="G20" s="30">
        <f>(B11*9.46/100*189)+(C11*7.09/100*113)+(D11*23.66/100*71)+(E11*1.77/100*12)</f>
        <v>30716.6712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13249.248239885615</v>
      </c>
    </row>
    <row r="22" spans="1:7" ht="16.5">
      <c r="A22" s="29" t="s">
        <v>35</v>
      </c>
      <c r="B22" s="29"/>
      <c r="C22" s="29"/>
      <c r="D22" s="29"/>
      <c r="E22" s="29"/>
      <c r="F22" s="29"/>
      <c r="G22" s="30">
        <f>D13*0.135*6</f>
        <v>398.034</v>
      </c>
    </row>
    <row r="23" spans="1:7" ht="16.5">
      <c r="A23" s="29" t="s">
        <v>36</v>
      </c>
      <c r="B23" s="29"/>
      <c r="C23" s="29"/>
      <c r="D23" s="29"/>
      <c r="E23" s="29"/>
      <c r="F23" s="29"/>
      <c r="G23" s="30">
        <f>114.94+2198.34+316.1+107.76+1810.36</f>
        <v>4547.5</v>
      </c>
    </row>
    <row r="24" spans="1:7" ht="16.5">
      <c r="A24" s="29" t="s">
        <v>37</v>
      </c>
      <c r="B24" s="29"/>
      <c r="C24" s="29"/>
      <c r="D24" s="29"/>
      <c r="E24" s="29"/>
      <c r="F24" s="29"/>
      <c r="G24" s="30">
        <f>B3*0.885*12</f>
        <v>19966.662</v>
      </c>
    </row>
    <row r="25" spans="1:7" ht="16.5">
      <c r="A25" s="29" t="s">
        <v>87</v>
      </c>
      <c r="B25" s="29"/>
      <c r="C25" s="29"/>
      <c r="D25" s="29"/>
      <c r="E25" s="29"/>
      <c r="F25" s="29"/>
      <c r="G25" s="30">
        <f>B3*2.648*4+B3*2.245*8</f>
        <v>53680.6152</v>
      </c>
    </row>
    <row r="26" spans="1:7" ht="16.5">
      <c r="A26" s="29" t="s">
        <v>39</v>
      </c>
      <c r="B26" s="29"/>
      <c r="C26" s="29"/>
      <c r="D26" s="29"/>
      <c r="E26" s="29"/>
      <c r="F26" s="29"/>
      <c r="G26" s="30">
        <v>2201</v>
      </c>
    </row>
    <row r="27" spans="1:7" ht="16.5">
      <c r="A27" s="29" t="s">
        <v>40</v>
      </c>
      <c r="B27" s="29"/>
      <c r="C27" s="29"/>
      <c r="D27" s="29"/>
      <c r="E27" s="29"/>
      <c r="F27" s="29"/>
      <c r="G27" s="30">
        <f>1*1209</f>
        <v>1209</v>
      </c>
    </row>
    <row r="28" spans="1:7" ht="16.5">
      <c r="A28" s="29" t="s">
        <v>41</v>
      </c>
      <c r="B28" s="29"/>
      <c r="C28" s="29"/>
      <c r="D28" s="29"/>
      <c r="E28" s="29"/>
      <c r="F28" s="29"/>
      <c r="G28" s="30">
        <f>4224+3017.52+269.56</f>
        <v>7511.080000000001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6.5">
      <c r="A32" s="29" t="s">
        <v>45</v>
      </c>
      <c r="B32" s="29"/>
      <c r="C32" s="29"/>
      <c r="D32" s="29"/>
      <c r="E32" s="29"/>
      <c r="F32" s="29"/>
      <c r="G32" s="30">
        <f>B3*1.81*6+B3*1.86*6</f>
        <v>41399.801999999996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339.12</v>
      </c>
    </row>
    <row r="34" spans="1:7" ht="16.5">
      <c r="A34" s="29" t="s">
        <v>47</v>
      </c>
      <c r="B34" s="29"/>
      <c r="C34" s="29"/>
      <c r="D34" s="29"/>
      <c r="E34" s="29"/>
      <c r="F34" s="29"/>
      <c r="G34" s="30">
        <f>B3*0.65*12</f>
        <v>14664.78</v>
      </c>
    </row>
    <row r="35" spans="1:7" ht="16.5">
      <c r="A35" s="29" t="s">
        <v>48</v>
      </c>
      <c r="B35" s="29"/>
      <c r="C35" s="29"/>
      <c r="D35" s="29"/>
      <c r="E35" s="29"/>
      <c r="F35" s="29"/>
      <c r="G35" s="30">
        <f>B3*0.82*12</f>
        <v>18500.184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B3*0.9*12</f>
        <v>20305.079999999998</v>
      </c>
    </row>
    <row r="37" spans="1:7" ht="16.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266315.1069998856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6.5" hidden="1">
      <c r="A39" s="29" t="s">
        <v>52</v>
      </c>
      <c r="B39" s="29"/>
      <c r="C39" s="29"/>
      <c r="D39" s="29"/>
      <c r="E39" s="29"/>
      <c r="F39" s="29"/>
      <c r="G39" s="30">
        <f>B3*2.96*12</f>
        <v>66781.152</v>
      </c>
    </row>
    <row r="40" spans="1:7" ht="16.5">
      <c r="A40" s="29" t="s">
        <v>53</v>
      </c>
      <c r="B40" s="29"/>
      <c r="C40" s="29"/>
      <c r="D40" s="29"/>
      <c r="E40" s="29"/>
      <c r="F40" s="29"/>
      <c r="G40" s="30"/>
    </row>
    <row r="41" spans="1:7" ht="16.5">
      <c r="A41" s="37" t="s">
        <v>54</v>
      </c>
      <c r="B41" s="37"/>
      <c r="C41" s="37"/>
      <c r="D41" s="37"/>
      <c r="E41" s="37"/>
      <c r="F41" s="37"/>
      <c r="G41" s="30"/>
    </row>
    <row r="42" spans="1:7" ht="16.5">
      <c r="A42" s="37" t="s">
        <v>55</v>
      </c>
      <c r="B42" s="37"/>
      <c r="C42" s="37"/>
      <c r="D42" s="37"/>
      <c r="E42" s="37"/>
      <c r="F42" s="37"/>
      <c r="G42" s="30"/>
    </row>
    <row r="43" spans="1:7" ht="16.5">
      <c r="A43" s="37" t="s">
        <v>56</v>
      </c>
      <c r="B43" s="37"/>
      <c r="C43" s="37"/>
      <c r="D43" s="37"/>
      <c r="E43" s="37"/>
      <c r="F43" s="37"/>
      <c r="G43" s="30"/>
    </row>
    <row r="44" spans="1:7" ht="16.5">
      <c r="A44" s="37" t="s">
        <v>57</v>
      </c>
      <c r="B44" s="37"/>
      <c r="C44" s="37"/>
      <c r="D44" s="37"/>
      <c r="E44" s="37"/>
      <c r="F44" s="37"/>
      <c r="G44" s="30">
        <v>31965.13</v>
      </c>
    </row>
    <row r="45" spans="1:7" ht="16.5" hidden="1">
      <c r="A45" s="37" t="s">
        <v>58</v>
      </c>
      <c r="B45" s="37"/>
      <c r="C45" s="37"/>
      <c r="D45" s="37"/>
      <c r="E45" s="37"/>
      <c r="F45" s="37"/>
      <c r="G45" s="30"/>
    </row>
    <row r="46" spans="1:7" ht="16.5" hidden="1">
      <c r="A46" s="37" t="s">
        <v>59</v>
      </c>
      <c r="B46" s="37"/>
      <c r="C46" s="37"/>
      <c r="D46" s="37"/>
      <c r="E46" s="37"/>
      <c r="F46" s="37"/>
      <c r="G46" s="30"/>
    </row>
    <row r="47" spans="1:7" ht="16.5">
      <c r="A47" s="37" t="s">
        <v>60</v>
      </c>
      <c r="B47" s="37"/>
      <c r="C47" s="37"/>
      <c r="D47" s="37"/>
      <c r="E47" s="37"/>
      <c r="F47" s="37"/>
      <c r="G47" s="30">
        <v>468.86</v>
      </c>
    </row>
    <row r="48" spans="1:7" ht="16.5">
      <c r="A48" s="37" t="s">
        <v>61</v>
      </c>
      <c r="B48" s="37"/>
      <c r="C48" s="37"/>
      <c r="D48" s="37"/>
      <c r="E48" s="37"/>
      <c r="F48" s="37"/>
      <c r="G48" s="30">
        <v>14700.32</v>
      </c>
    </row>
    <row r="49" spans="1:7" ht="16.5" hidden="1">
      <c r="A49" s="37" t="s">
        <v>62</v>
      </c>
      <c r="B49" s="37"/>
      <c r="C49" s="37"/>
      <c r="D49" s="37"/>
      <c r="E49" s="37"/>
      <c r="F49" s="37"/>
      <c r="G49" s="30"/>
    </row>
    <row r="50" spans="1:7" ht="16.5" hidden="1">
      <c r="A50" s="37" t="s">
        <v>63</v>
      </c>
      <c r="B50" s="37"/>
      <c r="C50" s="37"/>
      <c r="D50" s="37"/>
      <c r="E50" s="37"/>
      <c r="F50" s="37"/>
      <c r="G50" s="30"/>
    </row>
    <row r="51" spans="1:7" ht="16.5" hidden="1">
      <c r="A51" s="37" t="s">
        <v>64</v>
      </c>
      <c r="B51" s="37"/>
      <c r="C51" s="37"/>
      <c r="D51" s="37"/>
      <c r="E51" s="37"/>
      <c r="F51" s="37"/>
      <c r="G51" s="30"/>
    </row>
    <row r="52" spans="1:7" ht="16.5">
      <c r="A52" s="37" t="s">
        <v>65</v>
      </c>
      <c r="B52" s="37"/>
      <c r="C52" s="37"/>
      <c r="D52" s="37"/>
      <c r="E52" s="37"/>
      <c r="F52" s="37"/>
      <c r="G52" s="30">
        <v>9907.94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57042.25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4">
        <f>G37+G55</f>
        <v>323357.3569998856</v>
      </c>
    </row>
    <row r="57" spans="1:7" ht="16.5">
      <c r="A57" s="29" t="s">
        <v>70</v>
      </c>
      <c r="B57" s="29"/>
      <c r="C57" s="29"/>
      <c r="D57" s="29"/>
      <c r="E57" s="29"/>
      <c r="F57" s="29"/>
      <c r="G57" s="30">
        <v>-2486.2</v>
      </c>
    </row>
    <row r="58" spans="1:7" ht="15.75" customHeight="1">
      <c r="A58" s="40" t="s">
        <v>128</v>
      </c>
      <c r="B58" s="40"/>
      <c r="C58" s="40"/>
      <c r="D58" s="40"/>
      <c r="E58" s="40"/>
      <c r="F58" s="40"/>
      <c r="G58" s="34">
        <f>B3*B4*4+B3*B5*2+B3*B6*5+B3*B7*1+G59</f>
        <v>298572.68100000004</v>
      </c>
    </row>
    <row r="59" spans="1:7" ht="16.5">
      <c r="A59" s="41" t="s">
        <v>144</v>
      </c>
      <c r="B59" s="41"/>
      <c r="C59" s="41"/>
      <c r="D59" s="41"/>
      <c r="E59" s="41"/>
      <c r="F59" s="41"/>
      <c r="G59" s="30">
        <f>1*141.6*12+1*269*12+1*12*215.6</f>
        <v>7514.4</v>
      </c>
    </row>
    <row r="60" spans="1:7" ht="15.75" customHeight="1">
      <c r="A60" s="42" t="s">
        <v>73</v>
      </c>
      <c r="B60" s="42"/>
      <c r="C60" s="42"/>
      <c r="D60" s="42"/>
      <c r="E60" s="42"/>
      <c r="F60" s="42"/>
      <c r="G60" s="47">
        <v>22959.06</v>
      </c>
    </row>
    <row r="61" spans="1:7" ht="67.5" customHeight="1">
      <c r="A61" s="44" t="s">
        <v>114</v>
      </c>
      <c r="B61" s="44"/>
      <c r="C61" s="44"/>
      <c r="D61" s="44"/>
      <c r="E61" s="44"/>
      <c r="F61" s="44"/>
      <c r="G61" s="48">
        <f>G56-G58+G60-G57</f>
        <v>50229.935999885536</v>
      </c>
    </row>
    <row r="62" ht="16.5">
      <c r="G62" s="49"/>
    </row>
    <row r="63" ht="16.5"/>
    <row r="64" ht="16.5"/>
    <row r="65" ht="16.5"/>
    <row r="66" ht="16.5">
      <c r="A66" s="1" t="s">
        <v>145</v>
      </c>
    </row>
    <row r="68" ht="16.5"/>
    <row r="69" ht="16.5"/>
    <row r="70" ht="16.5"/>
    <row r="71" ht="16.5"/>
    <row r="72" ht="16.5"/>
    <row r="73" ht="16.5"/>
    <row r="74" ht="16.5"/>
    <row r="75" ht="16.5"/>
    <row r="84" ht="16.5"/>
    <row r="85" ht="16.5"/>
    <row r="88" ht="16.5"/>
    <row r="89" ht="16.5"/>
    <row r="90" ht="16.5"/>
    <row r="91" ht="16.5"/>
    <row r="92" ht="16.5"/>
    <row r="100" ht="16.5"/>
    <row r="101" ht="16.5"/>
    <row r="102" ht="16.5"/>
    <row r="104" ht="16.5"/>
    <row r="106" ht="16.5"/>
    <row r="112" ht="16.5"/>
    <row r="115" ht="16.5"/>
    <row r="116" ht="16.5"/>
    <row r="120" ht="16.5"/>
    <row r="123" ht="16.5"/>
    <row r="124" ht="16.5"/>
    <row r="127" ht="16.5"/>
    <row r="128" ht="16.5"/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 scale="95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G65"/>
  <sheetViews>
    <sheetView zoomScale="75" zoomScaleNormal="75" workbookViewId="0" topLeftCell="A1">
      <selection activeCell="G24" sqref="G24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14062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0.2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146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2695.2</v>
      </c>
      <c r="F3" s="8" t="s">
        <v>5</v>
      </c>
      <c r="G3" s="11">
        <v>2</v>
      </c>
    </row>
    <row r="4" spans="1:7" ht="18.75">
      <c r="A4" s="12" t="s">
        <v>6</v>
      </c>
      <c r="B4" s="46">
        <v>9.59</v>
      </c>
      <c r="C4" s="1" t="s">
        <v>93</v>
      </c>
      <c r="F4" s="8" t="s">
        <v>8</v>
      </c>
      <c r="G4" s="9">
        <v>1995</v>
      </c>
    </row>
    <row r="5" spans="1:7" ht="18.75">
      <c r="A5" s="12" t="s">
        <v>6</v>
      </c>
      <c r="B5" s="46">
        <v>9.74</v>
      </c>
      <c r="C5" s="1" t="s">
        <v>94</v>
      </c>
      <c r="F5" s="8"/>
      <c r="G5" s="9"/>
    </row>
    <row r="6" spans="1:7" ht="18.75">
      <c r="A6" s="12" t="s">
        <v>6</v>
      </c>
      <c r="B6" s="46">
        <v>9.79</v>
      </c>
      <c r="C6" s="1" t="s">
        <v>10</v>
      </c>
      <c r="F6" s="8"/>
      <c r="G6" s="9"/>
    </row>
    <row r="7" spans="1:3" ht="18.75">
      <c r="A7" s="12" t="s">
        <v>6</v>
      </c>
      <c r="B7" s="46">
        <v>10.21</v>
      </c>
      <c r="C7" s="1" t="s">
        <v>95</v>
      </c>
    </row>
    <row r="8" spans="1:7" ht="18.75" hidden="1">
      <c r="A8" s="15" t="s">
        <v>12</v>
      </c>
      <c r="B8" s="16">
        <v>197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1300</v>
      </c>
      <c r="C11" s="18">
        <v>407</v>
      </c>
      <c r="D11" s="18">
        <v>1300</v>
      </c>
      <c r="E11" s="18">
        <v>407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663</v>
      </c>
      <c r="C13" s="21">
        <v>480.2</v>
      </c>
      <c r="D13" s="21">
        <f>B13+C13</f>
        <v>1143.2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25</v>
      </c>
      <c r="C15" s="25"/>
      <c r="D15" s="25">
        <v>25</v>
      </c>
      <c r="E15" s="26">
        <f>D15+C15+B15</f>
        <v>50</v>
      </c>
      <c r="F15" s="18"/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0">
        <f>B8*7.012*12</f>
        <v>16576.368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0">
        <f>B9*35.705*12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0">
        <f>B12*0.3613*12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0">
        <f>(B11*9.46/100*189)+(C11*7.09/100*113)+(D11*23.66/100*71)+(E11*1.77/100*12)</f>
        <v>48428.608700000004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18993.337511908787</v>
      </c>
    </row>
    <row r="22" spans="1:7" ht="15.75">
      <c r="A22" s="29" t="s">
        <v>35</v>
      </c>
      <c r="B22" s="29"/>
      <c r="C22" s="29"/>
      <c r="D22" s="29"/>
      <c r="E22" s="29"/>
      <c r="F22" s="29"/>
      <c r="G22" s="30">
        <f>D13*0.135*6</f>
        <v>925.9920000000002</v>
      </c>
    </row>
    <row r="23" spans="1:7" ht="16.5">
      <c r="A23" s="29" t="s">
        <v>36</v>
      </c>
      <c r="B23" s="29"/>
      <c r="C23" s="29"/>
      <c r="D23" s="29"/>
      <c r="E23" s="29"/>
      <c r="F23" s="29"/>
      <c r="G23" s="30">
        <v>0</v>
      </c>
    </row>
    <row r="24" spans="1:7" ht="15.75">
      <c r="A24" s="29" t="s">
        <v>37</v>
      </c>
      <c r="B24" s="29"/>
      <c r="C24" s="29"/>
      <c r="D24" s="29"/>
      <c r="E24" s="29"/>
      <c r="F24" s="29"/>
      <c r="G24" s="30">
        <f>B3*0.885*12</f>
        <v>28623.023999999998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5.75">
      <c r="A28" s="29" t="s">
        <v>41</v>
      </c>
      <c r="B28" s="29"/>
      <c r="C28" s="29"/>
      <c r="D28" s="29"/>
      <c r="E28" s="29"/>
      <c r="F28" s="29"/>
      <c r="G28" s="30">
        <f>4224+3017.52+269.56</f>
        <v>7511.080000000001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0">
        <f>B3*1.81*6+B3*1.86*6</f>
        <v>59348.30399999999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235.5</v>
      </c>
    </row>
    <row r="34" spans="1:7" ht="15.75">
      <c r="A34" s="29" t="s">
        <v>47</v>
      </c>
      <c r="B34" s="29"/>
      <c r="C34" s="29"/>
      <c r="D34" s="29"/>
      <c r="E34" s="29"/>
      <c r="F34" s="29"/>
      <c r="G34" s="30">
        <f>B3*0.65*12</f>
        <v>21022.559999999998</v>
      </c>
    </row>
    <row r="35" spans="1:7" ht="15.75">
      <c r="A35" s="29" t="s">
        <v>48</v>
      </c>
      <c r="B35" s="29"/>
      <c r="C35" s="29"/>
      <c r="D35" s="29"/>
      <c r="E35" s="29"/>
      <c r="F35" s="29"/>
      <c r="G35" s="30">
        <f>B3*0.82*12</f>
        <v>26520.767999999996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B3*0.9*12</f>
        <v>29108.159999999996</v>
      </c>
    </row>
    <row r="37" spans="1:7" ht="15.7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257293.7022119088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5.75" hidden="1">
      <c r="A39" s="29" t="s">
        <v>52</v>
      </c>
      <c r="B39" s="29"/>
      <c r="C39" s="29"/>
      <c r="D39" s="29"/>
      <c r="E39" s="29"/>
      <c r="F39" s="29"/>
      <c r="G39" s="30">
        <f>B3*2.96*12</f>
        <v>95733.50399999999</v>
      </c>
    </row>
    <row r="40" spans="1:7" ht="15.75">
      <c r="A40" s="29" t="s">
        <v>53</v>
      </c>
      <c r="B40" s="29"/>
      <c r="C40" s="29"/>
      <c r="D40" s="29"/>
      <c r="E40" s="29"/>
      <c r="F40" s="29"/>
      <c r="G40" s="30"/>
    </row>
    <row r="41" spans="1:7" ht="17.25">
      <c r="A41" s="37" t="s">
        <v>54</v>
      </c>
      <c r="B41" s="37"/>
      <c r="C41" s="37"/>
      <c r="D41" s="37"/>
      <c r="E41" s="37"/>
      <c r="F41" s="37"/>
      <c r="G41" s="30">
        <f>14355.41+3984.76</f>
        <v>18340.17</v>
      </c>
    </row>
    <row r="42" spans="1:7" ht="17.25">
      <c r="A42" s="37" t="s">
        <v>55</v>
      </c>
      <c r="B42" s="37"/>
      <c r="C42" s="37"/>
      <c r="D42" s="37"/>
      <c r="E42" s="37"/>
      <c r="F42" s="37"/>
      <c r="G42" s="30">
        <v>1329.69</v>
      </c>
    </row>
    <row r="43" spans="1:7" ht="17.25">
      <c r="A43" s="37" t="s">
        <v>56</v>
      </c>
      <c r="B43" s="37"/>
      <c r="C43" s="37"/>
      <c r="D43" s="37"/>
      <c r="E43" s="37"/>
      <c r="F43" s="37"/>
      <c r="G43" s="30">
        <v>4282.32</v>
      </c>
    </row>
    <row r="44" spans="1:7" ht="17.25" hidden="1">
      <c r="A44" s="37" t="s">
        <v>57</v>
      </c>
      <c r="B44" s="37"/>
      <c r="C44" s="37"/>
      <c r="D44" s="37"/>
      <c r="E44" s="37"/>
      <c r="F44" s="37"/>
      <c r="G44" s="30"/>
    </row>
    <row r="45" spans="1:7" ht="17.25" hidden="1">
      <c r="A45" s="37" t="s">
        <v>58</v>
      </c>
      <c r="B45" s="37"/>
      <c r="C45" s="37"/>
      <c r="D45" s="37"/>
      <c r="E45" s="37"/>
      <c r="F45" s="37"/>
      <c r="G45" s="30"/>
    </row>
    <row r="46" spans="1:7" ht="17.25" hidden="1">
      <c r="A46" s="37" t="s">
        <v>59</v>
      </c>
      <c r="B46" s="37"/>
      <c r="C46" s="37"/>
      <c r="D46" s="37"/>
      <c r="E46" s="37"/>
      <c r="F46" s="37"/>
      <c r="G46" s="30"/>
    </row>
    <row r="47" spans="1:7" ht="16.5">
      <c r="A47" s="37" t="s">
        <v>60</v>
      </c>
      <c r="B47" s="37"/>
      <c r="C47" s="37"/>
      <c r="D47" s="37"/>
      <c r="E47" s="37"/>
      <c r="F47" s="37"/>
      <c r="G47" s="30">
        <f>42.09+42.08+42.09</f>
        <v>126.26</v>
      </c>
    </row>
    <row r="48" spans="1:7" ht="17.25">
      <c r="A48" s="37" t="s">
        <v>61</v>
      </c>
      <c r="B48" s="37"/>
      <c r="C48" s="37"/>
      <c r="D48" s="37"/>
      <c r="E48" s="37"/>
      <c r="F48" s="37"/>
      <c r="G48" s="30">
        <v>10080.22</v>
      </c>
    </row>
    <row r="49" spans="1:7" ht="17.25" hidden="1">
      <c r="A49" s="37" t="s">
        <v>62</v>
      </c>
      <c r="B49" s="37"/>
      <c r="C49" s="37"/>
      <c r="D49" s="37"/>
      <c r="E49" s="37"/>
      <c r="F49" s="37"/>
      <c r="G49" s="30"/>
    </row>
    <row r="50" spans="1:7" ht="17.25" hidden="1">
      <c r="A50" s="37" t="s">
        <v>63</v>
      </c>
      <c r="B50" s="37"/>
      <c r="C50" s="37"/>
      <c r="D50" s="37"/>
      <c r="E50" s="37"/>
      <c r="F50" s="37"/>
      <c r="G50" s="30"/>
    </row>
    <row r="51" spans="1:7" ht="16.5" hidden="1">
      <c r="A51" s="37" t="s">
        <v>64</v>
      </c>
      <c r="B51" s="37"/>
      <c r="C51" s="37"/>
      <c r="D51" s="37"/>
      <c r="E51" s="37"/>
      <c r="F51" s="37"/>
      <c r="G51" s="30"/>
    </row>
    <row r="52" spans="1:7" ht="17.25">
      <c r="A52" s="37" t="s">
        <v>65</v>
      </c>
      <c r="B52" s="37"/>
      <c r="C52" s="37"/>
      <c r="D52" s="37"/>
      <c r="E52" s="37"/>
      <c r="F52" s="37"/>
      <c r="G52" s="30">
        <v>14356.8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48515.45999999999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4">
        <f>G37+G55</f>
        <v>305809.1622119088</v>
      </c>
    </row>
    <row r="57" spans="1:7" ht="15.75">
      <c r="A57" s="29" t="s">
        <v>70</v>
      </c>
      <c r="B57" s="29"/>
      <c r="C57" s="29"/>
      <c r="D57" s="29"/>
      <c r="E57" s="29"/>
      <c r="F57" s="29"/>
      <c r="G57" s="30">
        <f>-487.64-806.26-1170.36-705.47</f>
        <v>-3169.7300000000005</v>
      </c>
    </row>
    <row r="58" spans="1:7" ht="15.75" customHeight="1">
      <c r="A58" s="40" t="s">
        <v>147</v>
      </c>
      <c r="B58" s="40"/>
      <c r="C58" s="40"/>
      <c r="D58" s="40"/>
      <c r="E58" s="40"/>
      <c r="F58" s="40"/>
      <c r="G58" s="34">
        <f>B3*B4*4+B3*B5*2+B3*B6*5+B3*B7*1+G59</f>
        <v>321323.99999999994</v>
      </c>
    </row>
    <row r="59" spans="1:7" ht="15.75">
      <c r="A59" s="41" t="s">
        <v>148</v>
      </c>
      <c r="B59" s="41"/>
      <c r="C59" s="41"/>
      <c r="D59" s="41"/>
      <c r="E59" s="41"/>
      <c r="F59" s="41"/>
      <c r="G59" s="34">
        <f>141.6*1*12+215.6*1*12+141.6*1*12</f>
        <v>5985.599999999999</v>
      </c>
    </row>
    <row r="60" spans="1:7" ht="18.75" customHeight="1">
      <c r="A60" s="42" t="s">
        <v>73</v>
      </c>
      <c r="B60" s="42"/>
      <c r="C60" s="42"/>
      <c r="D60" s="42"/>
      <c r="E60" s="42"/>
      <c r="F60" s="42"/>
      <c r="G60" s="47">
        <v>16694.87</v>
      </c>
    </row>
    <row r="61" spans="1:7" ht="74.25" customHeight="1">
      <c r="A61" s="44" t="s">
        <v>74</v>
      </c>
      <c r="B61" s="44"/>
      <c r="C61" s="44"/>
      <c r="D61" s="44"/>
      <c r="E61" s="44"/>
      <c r="F61" s="44"/>
      <c r="G61" s="48">
        <f>G56-G58+G60-G57</f>
        <v>4349.762211908842</v>
      </c>
    </row>
    <row r="65" ht="15.7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A1:G64"/>
  <sheetViews>
    <sheetView zoomScale="75" zoomScaleNormal="75" workbookViewId="0" topLeftCell="A4">
      <selection activeCell="G24" sqref="G24"/>
    </sheetView>
  </sheetViews>
  <sheetFormatPr defaultColWidth="9.140625" defaultRowHeight="12.75"/>
  <cols>
    <col min="1" max="1" width="24.00390625" style="1" customWidth="1"/>
    <col min="2" max="2" width="12.8515625" style="1" customWidth="1"/>
    <col min="3" max="5" width="9.140625" style="1" customWidth="1"/>
    <col min="6" max="6" width="21.140625" style="1" customWidth="1"/>
    <col min="7" max="7" width="13.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8.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149</v>
      </c>
      <c r="C2" s="7"/>
      <c r="D2" s="7"/>
      <c r="E2" s="7"/>
      <c r="F2" s="8" t="s">
        <v>3</v>
      </c>
      <c r="G2" s="9" t="s">
        <v>150</v>
      </c>
    </row>
    <row r="3" spans="1:7" ht="18.75">
      <c r="A3" s="6" t="s">
        <v>4</v>
      </c>
      <c r="B3" s="10">
        <v>7919.1</v>
      </c>
      <c r="F3" s="8" t="s">
        <v>5</v>
      </c>
      <c r="G3" s="9">
        <v>4</v>
      </c>
    </row>
    <row r="4" spans="1:7" ht="18.75">
      <c r="A4" s="12" t="s">
        <v>6</v>
      </c>
      <c r="B4" s="46">
        <v>12.21</v>
      </c>
      <c r="C4" s="1" t="s">
        <v>93</v>
      </c>
      <c r="F4" s="8" t="s">
        <v>8</v>
      </c>
      <c r="G4" s="9">
        <v>1995</v>
      </c>
    </row>
    <row r="5" spans="1:7" ht="18.75">
      <c r="A5" s="12" t="s">
        <v>6</v>
      </c>
      <c r="B5" s="46">
        <v>12.36</v>
      </c>
      <c r="C5" s="1" t="s">
        <v>94</v>
      </c>
      <c r="F5" s="8"/>
      <c r="G5" s="9"/>
    </row>
    <row r="6" spans="1:7" ht="18.75">
      <c r="A6" s="12" t="s">
        <v>6</v>
      </c>
      <c r="B6" s="46">
        <v>12.41</v>
      </c>
      <c r="C6" s="1" t="s">
        <v>10</v>
      </c>
      <c r="F6" s="8"/>
      <c r="G6" s="9"/>
    </row>
    <row r="7" spans="1:3" ht="18.75">
      <c r="A7" s="12" t="s">
        <v>6</v>
      </c>
      <c r="B7" s="46">
        <v>12.81</v>
      </c>
      <c r="C7" s="1" t="s">
        <v>95</v>
      </c>
    </row>
    <row r="8" spans="1:7" ht="18.75" hidden="1">
      <c r="A8" s="15" t="s">
        <v>12</v>
      </c>
      <c r="B8" s="16">
        <v>877.9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4</v>
      </c>
      <c r="C9" s="17" t="s">
        <v>82</v>
      </c>
      <c r="D9" s="17">
        <v>4</v>
      </c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1639</v>
      </c>
      <c r="C11" s="18">
        <v>769</v>
      </c>
      <c r="D11" s="18">
        <v>1210</v>
      </c>
      <c r="E11" s="18">
        <v>1198</v>
      </c>
      <c r="F11" s="17"/>
      <c r="G11" s="17"/>
    </row>
    <row r="12" spans="1:7" ht="18.75" hidden="1">
      <c r="A12" s="15" t="s">
        <v>19</v>
      </c>
      <c r="B12" s="21">
        <v>0</v>
      </c>
      <c r="C12" s="17" t="s">
        <v>151</v>
      </c>
      <c r="D12" s="17"/>
      <c r="E12" s="17"/>
      <c r="F12" s="17"/>
      <c r="G12" s="17"/>
    </row>
    <row r="13" spans="1:7" ht="18.75" hidden="1">
      <c r="A13" s="15" t="s">
        <v>21</v>
      </c>
      <c r="B13" s="21">
        <v>1573.3</v>
      </c>
      <c r="C13" s="21">
        <v>766</v>
      </c>
      <c r="D13" s="21">
        <f>B13+C13</f>
        <v>2339.3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126</v>
      </c>
      <c r="C15" s="25"/>
      <c r="D15" s="25">
        <v>126</v>
      </c>
      <c r="E15" s="26">
        <f>D15+C15+B15</f>
        <v>252</v>
      </c>
      <c r="F15" s="18"/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63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0">
        <f>B8*7.012*12</f>
        <v>73870.01759999999</v>
      </c>
    </row>
    <row r="18" spans="1:7" ht="15.75">
      <c r="A18" s="29" t="s">
        <v>31</v>
      </c>
      <c r="B18" s="29"/>
      <c r="C18" s="29"/>
      <c r="D18" s="29"/>
      <c r="E18" s="29"/>
      <c r="F18" s="29"/>
      <c r="G18" s="30">
        <f>B9*35.705*12</f>
        <v>1713.84</v>
      </c>
    </row>
    <row r="19" spans="1:7" ht="15.75" customHeight="1">
      <c r="A19" s="29" t="s">
        <v>85</v>
      </c>
      <c r="B19" s="29"/>
      <c r="C19" s="29"/>
      <c r="D19" s="29"/>
      <c r="E19" s="29"/>
      <c r="F19" s="29"/>
      <c r="G19" s="30">
        <f>B12*0.3613*4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0">
        <f>(B11*9.46/100*189)+(C11*7.09/100*113)+(D11*23.66/100*71)+(E11*1.77/100*12)</f>
        <v>56046.09509999999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55806.67078159576</v>
      </c>
    </row>
    <row r="22" spans="1:7" ht="15.75">
      <c r="A22" s="29" t="s">
        <v>35</v>
      </c>
      <c r="B22" s="29"/>
      <c r="C22" s="29"/>
      <c r="D22" s="29"/>
      <c r="E22" s="29"/>
      <c r="F22" s="29"/>
      <c r="G22" s="30">
        <f>D13*0.135*6</f>
        <v>1894.8330000000003</v>
      </c>
    </row>
    <row r="23" spans="1:7" ht="16.5">
      <c r="A23" s="29" t="s">
        <v>36</v>
      </c>
      <c r="B23" s="29"/>
      <c r="C23" s="29"/>
      <c r="D23" s="29"/>
      <c r="E23" s="29"/>
      <c r="F23" s="29"/>
      <c r="G23" s="30">
        <v>0</v>
      </c>
    </row>
    <row r="24" spans="1:7" ht="15.75">
      <c r="A24" s="29" t="s">
        <v>37</v>
      </c>
      <c r="B24" s="29"/>
      <c r="C24" s="29"/>
      <c r="D24" s="29"/>
      <c r="E24" s="29"/>
      <c r="F24" s="29"/>
      <c r="G24" s="30">
        <f>B3*0.885*12</f>
        <v>84100.842</v>
      </c>
    </row>
    <row r="25" spans="1:7" ht="15.75">
      <c r="A25" s="29" t="s">
        <v>152</v>
      </c>
      <c r="B25" s="29"/>
      <c r="C25" s="29"/>
      <c r="D25" s="29"/>
      <c r="E25" s="29"/>
      <c r="F25" s="29"/>
      <c r="G25" s="30">
        <f>B3*2.648*4+B3*2.245*8</f>
        <v>226106.14320000005</v>
      </c>
    </row>
    <row r="26" spans="1:7" ht="15.75">
      <c r="A26" s="29" t="s">
        <v>39</v>
      </c>
      <c r="B26" s="29"/>
      <c r="C26" s="29"/>
      <c r="D26" s="29"/>
      <c r="E26" s="29"/>
      <c r="F26" s="29"/>
      <c r="G26" s="30">
        <f>2201*4</f>
        <v>8804</v>
      </c>
    </row>
    <row r="27" spans="1:7" ht="15.75">
      <c r="A27" s="29" t="s">
        <v>40</v>
      </c>
      <c r="B27" s="29"/>
      <c r="C27" s="29"/>
      <c r="D27" s="29"/>
      <c r="E27" s="29"/>
      <c r="F27" s="29"/>
      <c r="G27" s="30">
        <f>4*1209</f>
        <v>4836</v>
      </c>
    </row>
    <row r="28" spans="1:7" ht="17.25">
      <c r="A28" s="29" t="s">
        <v>41</v>
      </c>
      <c r="B28" s="29"/>
      <c r="C28" s="29"/>
      <c r="D28" s="29"/>
      <c r="E28" s="29"/>
      <c r="F28" s="29"/>
      <c r="G28" s="30">
        <f>12672+9052.56+808.68</f>
        <v>22533.239999999998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0">
        <f>B3*1.81*6+B3*1.86*6</f>
        <v>174378.582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1186.92</v>
      </c>
    </row>
    <row r="34" spans="1:7" ht="15.75">
      <c r="A34" s="29" t="s">
        <v>47</v>
      </c>
      <c r="B34" s="29"/>
      <c r="C34" s="29"/>
      <c r="D34" s="29"/>
      <c r="E34" s="29"/>
      <c r="F34" s="29"/>
      <c r="G34" s="30">
        <f>B3*0.65*12</f>
        <v>61768.979999999996</v>
      </c>
    </row>
    <row r="35" spans="1:7" ht="15.75">
      <c r="A35" s="29" t="s">
        <v>48</v>
      </c>
      <c r="B35" s="29"/>
      <c r="C35" s="29"/>
      <c r="D35" s="29"/>
      <c r="E35" s="29"/>
      <c r="F35" s="29"/>
      <c r="G35" s="30">
        <f>B3*0.82*12</f>
        <v>77923.94400000002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B3*0.9*12</f>
        <v>85526.28</v>
      </c>
    </row>
    <row r="37" spans="1:7" ht="15.7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936496.3876815957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5.75" hidden="1">
      <c r="A39" s="29" t="s">
        <v>52</v>
      </c>
      <c r="B39" s="29"/>
      <c r="C39" s="29"/>
      <c r="D39" s="29"/>
      <c r="E39" s="29"/>
      <c r="F39" s="29"/>
      <c r="G39" s="30">
        <f>B3*2.96*12</f>
        <v>281286.43200000003</v>
      </c>
    </row>
    <row r="40" spans="1:7" ht="15.75">
      <c r="A40" s="29" t="s">
        <v>53</v>
      </c>
      <c r="B40" s="29"/>
      <c r="C40" s="29"/>
      <c r="D40" s="29"/>
      <c r="E40" s="29"/>
      <c r="F40" s="29"/>
      <c r="G40" s="30"/>
    </row>
    <row r="41" spans="1:7" ht="16.5">
      <c r="A41" s="37" t="s">
        <v>54</v>
      </c>
      <c r="B41" s="37"/>
      <c r="C41" s="37"/>
      <c r="D41" s="37"/>
      <c r="E41" s="37"/>
      <c r="F41" s="37"/>
      <c r="G41" s="30">
        <f>9340.5+2148.02+2352.18</f>
        <v>13840.7</v>
      </c>
    </row>
    <row r="42" spans="1:7" ht="16.5">
      <c r="A42" s="37" t="s">
        <v>55</v>
      </c>
      <c r="B42" s="37"/>
      <c r="C42" s="37"/>
      <c r="D42" s="37"/>
      <c r="E42" s="37"/>
      <c r="F42" s="37"/>
      <c r="G42" s="30">
        <v>2834.25</v>
      </c>
    </row>
    <row r="43" spans="1:7" ht="16.5">
      <c r="A43" s="37" t="s">
        <v>56</v>
      </c>
      <c r="B43" s="37"/>
      <c r="C43" s="37"/>
      <c r="D43" s="37"/>
      <c r="E43" s="37"/>
      <c r="F43" s="37"/>
      <c r="G43" s="30">
        <f>1417.12+3198.76</f>
        <v>4615.88</v>
      </c>
    </row>
    <row r="44" spans="1:7" ht="16.5" hidden="1">
      <c r="A44" s="37" t="s">
        <v>57</v>
      </c>
      <c r="B44" s="37"/>
      <c r="C44" s="37"/>
      <c r="D44" s="37"/>
      <c r="E44" s="37"/>
      <c r="F44" s="37"/>
      <c r="G44" s="30"/>
    </row>
    <row r="45" spans="1:7" ht="16.5" hidden="1">
      <c r="A45" s="37" t="s">
        <v>58</v>
      </c>
      <c r="B45" s="37"/>
      <c r="C45" s="37"/>
      <c r="D45" s="37"/>
      <c r="E45" s="37"/>
      <c r="F45" s="37"/>
      <c r="G45" s="30"/>
    </row>
    <row r="46" spans="1:7" ht="16.5">
      <c r="A46" s="37" t="s">
        <v>59</v>
      </c>
      <c r="B46" s="37"/>
      <c r="C46" s="37"/>
      <c r="D46" s="37"/>
      <c r="E46" s="37"/>
      <c r="F46" s="37"/>
      <c r="G46" s="30">
        <f>30923.27+6329.15</f>
        <v>37252.42</v>
      </c>
    </row>
    <row r="47" spans="1:7" ht="16.5">
      <c r="A47" s="37" t="s">
        <v>60</v>
      </c>
      <c r="B47" s="37"/>
      <c r="C47" s="37"/>
      <c r="D47" s="37"/>
      <c r="E47" s="37"/>
      <c r="F47" s="37"/>
      <c r="G47" s="30">
        <f>12182.27+460.28+42.08</f>
        <v>12684.630000000001</v>
      </c>
    </row>
    <row r="48" spans="1:7" ht="16.5">
      <c r="A48" s="37" t="s">
        <v>61</v>
      </c>
      <c r="B48" s="37"/>
      <c r="C48" s="37"/>
      <c r="D48" s="37"/>
      <c r="E48" s="37"/>
      <c r="F48" s="37"/>
      <c r="G48" s="30">
        <f>37946.95+9732.85+14140.32+1289.33+1443.38+2310.05+2940.06+2520.06+3150.07+2520.06+1574.59+4620.1+17220.38+3780.08+7560.17+4620.1</f>
        <v>117368.55</v>
      </c>
    </row>
    <row r="49" spans="1:7" ht="16.5" hidden="1">
      <c r="A49" s="37" t="s">
        <v>62</v>
      </c>
      <c r="B49" s="37"/>
      <c r="C49" s="37"/>
      <c r="D49" s="37"/>
      <c r="E49" s="37"/>
      <c r="F49" s="37"/>
      <c r="G49" s="30"/>
    </row>
    <row r="50" spans="1:7" ht="16.5" hidden="1">
      <c r="A50" s="37" t="s">
        <v>153</v>
      </c>
      <c r="B50" s="37"/>
      <c r="C50" s="37"/>
      <c r="D50" s="37"/>
      <c r="E50" s="37"/>
      <c r="F50" s="37"/>
      <c r="G50" s="30"/>
    </row>
    <row r="51" spans="1:7" ht="16.5" hidden="1">
      <c r="A51" s="37" t="s">
        <v>64</v>
      </c>
      <c r="B51" s="37"/>
      <c r="C51" s="37"/>
      <c r="D51" s="37"/>
      <c r="E51" s="37"/>
      <c r="F51" s="37"/>
      <c r="G51" s="30"/>
    </row>
    <row r="52" spans="1:7" ht="17.25">
      <c r="A52" s="37" t="s">
        <v>65</v>
      </c>
      <c r="B52" s="37"/>
      <c r="C52" s="37"/>
      <c r="D52" s="37"/>
      <c r="E52" s="37"/>
      <c r="F52" s="37"/>
      <c r="G52" s="30">
        <v>69391.2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257987.63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4">
        <f>G37+G55</f>
        <v>1194484.0176815959</v>
      </c>
    </row>
    <row r="57" spans="1:7" ht="17.25">
      <c r="A57" s="29" t="s">
        <v>70</v>
      </c>
      <c r="B57" s="29"/>
      <c r="C57" s="29"/>
      <c r="D57" s="29"/>
      <c r="E57" s="29"/>
      <c r="F57" s="29"/>
      <c r="G57" s="30">
        <f>-3711.69-262.5-4386.45-697.33-3713.97</f>
        <v>-12771.939999999999</v>
      </c>
    </row>
    <row r="58" spans="1:7" ht="15.75" customHeight="1">
      <c r="A58" s="40" t="s">
        <v>147</v>
      </c>
      <c r="B58" s="40"/>
      <c r="C58" s="40"/>
      <c r="D58" s="40"/>
      <c r="E58" s="40"/>
      <c r="F58" s="40"/>
      <c r="G58" s="34">
        <f>B3*B4*4+B3*B5*2+B3*B6*5+B3*B7*1+G59</f>
        <v>1192301.6220000002</v>
      </c>
    </row>
    <row r="59" spans="1:7" ht="16.5">
      <c r="A59" s="41" t="s">
        <v>148</v>
      </c>
      <c r="B59" s="41"/>
      <c r="C59" s="41"/>
      <c r="D59" s="41"/>
      <c r="E59" s="41"/>
      <c r="F59" s="41"/>
      <c r="G59" s="30">
        <f>160*1*12+141.6*2*12+215.6*12*2+269*2*12</f>
        <v>16948.8</v>
      </c>
    </row>
    <row r="60" spans="1:7" ht="18.75" customHeight="1">
      <c r="A60" s="42" t="s">
        <v>73</v>
      </c>
      <c r="B60" s="42"/>
      <c r="C60" s="42"/>
      <c r="D60" s="42"/>
      <c r="E60" s="42"/>
      <c r="F60" s="42"/>
      <c r="G60" s="47">
        <v>97774.13</v>
      </c>
    </row>
    <row r="61" spans="1:7" ht="62.25" customHeight="1">
      <c r="A61" s="44" t="s">
        <v>90</v>
      </c>
      <c r="B61" s="44"/>
      <c r="C61" s="44"/>
      <c r="D61" s="44"/>
      <c r="E61" s="44"/>
      <c r="F61" s="44"/>
      <c r="G61" s="48">
        <f>G56-G58+G60-G57</f>
        <v>112728.46568159567</v>
      </c>
    </row>
    <row r="64" ht="15.75">
      <c r="A64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4597222222222222" right="0" top="0.44027777777777777" bottom="0" header="0.5118055555555555" footer="0.5118055555555555"/>
  <pageSetup horizontalDpi="300" verticalDpi="300" orientation="portrait" paperSize="9" scale="95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</sheetPr>
  <dimension ref="A1:G65"/>
  <sheetViews>
    <sheetView zoomScale="75" zoomScaleNormal="75" workbookViewId="0" topLeftCell="A1">
      <selection activeCell="G24" sqref="G24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2812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6.2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76</v>
      </c>
      <c r="B2" s="7" t="s">
        <v>154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78</v>
      </c>
      <c r="B3" s="10">
        <v>2667.5</v>
      </c>
      <c r="F3" s="8" t="s">
        <v>5</v>
      </c>
      <c r="G3" s="11">
        <v>4</v>
      </c>
    </row>
    <row r="4" spans="1:7" ht="18.75">
      <c r="A4" s="12" t="s">
        <v>79</v>
      </c>
      <c r="B4" s="46">
        <v>11.39</v>
      </c>
      <c r="C4" s="1" t="s">
        <v>93</v>
      </c>
      <c r="F4" s="8" t="s">
        <v>8</v>
      </c>
      <c r="G4" s="9">
        <v>1990</v>
      </c>
    </row>
    <row r="5" spans="1:7" ht="18.75">
      <c r="A5" s="12" t="s">
        <v>79</v>
      </c>
      <c r="B5" s="46">
        <v>11.54</v>
      </c>
      <c r="C5" s="1" t="s">
        <v>94</v>
      </c>
      <c r="F5" s="8"/>
      <c r="G5" s="9"/>
    </row>
    <row r="6" spans="1:7" ht="18.75">
      <c r="A6" s="12" t="s">
        <v>79</v>
      </c>
      <c r="B6" s="46">
        <v>11.59</v>
      </c>
      <c r="C6" s="1" t="s">
        <v>10</v>
      </c>
      <c r="F6" s="8"/>
      <c r="G6" s="9"/>
    </row>
    <row r="7" spans="1:3" ht="18.75">
      <c r="A7" s="12" t="s">
        <v>79</v>
      </c>
      <c r="B7" s="46">
        <v>12.14</v>
      </c>
      <c r="C7" s="1" t="s">
        <v>95</v>
      </c>
    </row>
    <row r="8" spans="1:7" ht="18.75" hidden="1">
      <c r="A8" s="15" t="s">
        <v>12</v>
      </c>
      <c r="B8" s="16">
        <v>264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403</v>
      </c>
      <c r="C11" s="18">
        <v>2880</v>
      </c>
      <c r="D11" s="18">
        <v>403</v>
      </c>
      <c r="E11" s="18">
        <v>2880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778.1</v>
      </c>
      <c r="C13" s="21">
        <v>533.5</v>
      </c>
      <c r="D13" s="21">
        <f>B13+C13</f>
        <v>1311.6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60</v>
      </c>
      <c r="C15" s="25"/>
      <c r="D15" s="25">
        <v>60</v>
      </c>
      <c r="E15" s="26">
        <f>D15+C15+B15</f>
        <v>120</v>
      </c>
      <c r="F15" s="18"/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0">
        <f>B8*8.689*12</f>
        <v>27526.752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0">
        <f>B9*19.03*12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0">
        <f>B12*0.4523*12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0">
        <f>(B11*12.84/100*189)+(C11*9.63/100*113)+(D11*32.11/100*71)+(E11*2.41/100*12)</f>
        <v>51140.2451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18798.13290776814</v>
      </c>
    </row>
    <row r="22" spans="1:7" ht="15.75">
      <c r="A22" s="29" t="s">
        <v>35</v>
      </c>
      <c r="B22" s="29"/>
      <c r="C22" s="29"/>
      <c r="D22" s="29"/>
      <c r="E22" s="29"/>
      <c r="F22" s="29"/>
      <c r="G22" s="30">
        <f>D13*0.135*6</f>
        <v>1062.396</v>
      </c>
    </row>
    <row r="23" spans="1:7" ht="16.5">
      <c r="A23" s="29" t="s">
        <v>36</v>
      </c>
      <c r="B23" s="29"/>
      <c r="C23" s="29"/>
      <c r="D23" s="29"/>
      <c r="E23" s="29"/>
      <c r="F23" s="29"/>
      <c r="G23" s="30">
        <v>0</v>
      </c>
    </row>
    <row r="24" spans="1:7" ht="15.75">
      <c r="A24" s="29" t="s">
        <v>37</v>
      </c>
      <c r="B24" s="29"/>
      <c r="C24" s="29"/>
      <c r="D24" s="29"/>
      <c r="E24" s="29"/>
      <c r="F24" s="29"/>
      <c r="G24" s="30">
        <f>B3*0.885*12</f>
        <v>28328.850000000002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5.75">
      <c r="A28" s="29" t="s">
        <v>41</v>
      </c>
      <c r="B28" s="29"/>
      <c r="C28" s="29"/>
      <c r="D28" s="29"/>
      <c r="E28" s="29"/>
      <c r="F28" s="29"/>
      <c r="G28" s="30">
        <f>8448+3017.52+539.12</f>
        <v>12004.640000000001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0">
        <f>B3*1.81*6+B3*1.86*6</f>
        <v>58738.35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565.2</v>
      </c>
    </row>
    <row r="34" spans="1:7" ht="15.75">
      <c r="A34" s="29" t="s">
        <v>47</v>
      </c>
      <c r="B34" s="29"/>
      <c r="C34" s="29"/>
      <c r="D34" s="29"/>
      <c r="E34" s="29"/>
      <c r="F34" s="29"/>
      <c r="G34" s="30">
        <f>B3*0.65*12</f>
        <v>20806.5</v>
      </c>
    </row>
    <row r="35" spans="1:7" ht="15.75">
      <c r="A35" s="29" t="s">
        <v>48</v>
      </c>
      <c r="B35" s="29"/>
      <c r="C35" s="29"/>
      <c r="D35" s="29"/>
      <c r="E35" s="29"/>
      <c r="F35" s="29"/>
      <c r="G35" s="30">
        <f>B3*0.82*12</f>
        <v>26248.200000000004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B3*0.9*12</f>
        <v>28809</v>
      </c>
    </row>
    <row r="37" spans="1:7" ht="15.7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274028.2660077682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5.75" hidden="1">
      <c r="A39" s="29" t="s">
        <v>52</v>
      </c>
      <c r="B39" s="29"/>
      <c r="C39" s="29"/>
      <c r="D39" s="29"/>
      <c r="E39" s="29"/>
      <c r="F39" s="29"/>
      <c r="G39" s="30">
        <f>B3*3.47*12</f>
        <v>111074.70000000001</v>
      </c>
    </row>
    <row r="40" spans="1:7" ht="17.25">
      <c r="A40" s="29" t="s">
        <v>53</v>
      </c>
      <c r="B40" s="29"/>
      <c r="C40" s="29"/>
      <c r="D40" s="29"/>
      <c r="E40" s="29"/>
      <c r="F40" s="29"/>
      <c r="G40" s="30"/>
    </row>
    <row r="41" spans="1:7" ht="17.25">
      <c r="A41" s="37" t="s">
        <v>54</v>
      </c>
      <c r="B41" s="37"/>
      <c r="C41" s="37"/>
      <c r="D41" s="37"/>
      <c r="E41" s="37"/>
      <c r="F41" s="37"/>
      <c r="G41" s="30">
        <f>11650.08+3547.66</f>
        <v>15197.74</v>
      </c>
    </row>
    <row r="42" spans="1:7" ht="17.25">
      <c r="A42" s="37" t="s">
        <v>55</v>
      </c>
      <c r="B42" s="37"/>
      <c r="C42" s="37"/>
      <c r="D42" s="37"/>
      <c r="E42" s="37"/>
      <c r="F42" s="37"/>
      <c r="G42" s="30"/>
    </row>
    <row r="43" spans="1:7" ht="16.5">
      <c r="A43" s="37" t="s">
        <v>56</v>
      </c>
      <c r="B43" s="37"/>
      <c r="C43" s="37"/>
      <c r="D43" s="37"/>
      <c r="E43" s="37"/>
      <c r="F43" s="37"/>
      <c r="G43" s="30"/>
    </row>
    <row r="44" spans="1:7" ht="16.5" hidden="1">
      <c r="A44" s="37" t="s">
        <v>57</v>
      </c>
      <c r="B44" s="37"/>
      <c r="C44" s="37"/>
      <c r="D44" s="37"/>
      <c r="E44" s="37"/>
      <c r="F44" s="37"/>
      <c r="G44" s="30"/>
    </row>
    <row r="45" spans="1:7" ht="16.5" hidden="1">
      <c r="A45" s="37" t="s">
        <v>58</v>
      </c>
      <c r="B45" s="37"/>
      <c r="C45" s="37"/>
      <c r="D45" s="37"/>
      <c r="E45" s="37"/>
      <c r="F45" s="37"/>
      <c r="G45" s="30"/>
    </row>
    <row r="46" spans="1:7" ht="16.5" hidden="1">
      <c r="A46" s="37" t="s">
        <v>59</v>
      </c>
      <c r="B46" s="37"/>
      <c r="C46" s="37"/>
      <c r="D46" s="37"/>
      <c r="E46" s="37"/>
      <c r="F46" s="37"/>
      <c r="G46" s="30"/>
    </row>
    <row r="47" spans="1:7" ht="16.5">
      <c r="A47" s="37" t="s">
        <v>60</v>
      </c>
      <c r="B47" s="37"/>
      <c r="C47" s="37"/>
      <c r="D47" s="37"/>
      <c r="E47" s="37"/>
      <c r="F47" s="37"/>
      <c r="G47" s="30">
        <f>890.4+42.07</f>
        <v>932.47</v>
      </c>
    </row>
    <row r="48" spans="1:7" ht="16.5">
      <c r="A48" s="37" t="s">
        <v>61</v>
      </c>
      <c r="B48" s="37"/>
      <c r="C48" s="37"/>
      <c r="D48" s="37"/>
      <c r="E48" s="37"/>
      <c r="F48" s="37"/>
      <c r="G48" s="30">
        <f>2135.89+866.77</f>
        <v>3002.66</v>
      </c>
    </row>
    <row r="49" spans="1:7" ht="16.5" hidden="1">
      <c r="A49" s="37" t="s">
        <v>62</v>
      </c>
      <c r="B49" s="37"/>
      <c r="C49" s="37"/>
      <c r="D49" s="37"/>
      <c r="E49" s="37"/>
      <c r="F49" s="37"/>
      <c r="G49" s="30"/>
    </row>
    <row r="50" spans="1:7" ht="16.5" hidden="1">
      <c r="A50" s="37" t="s">
        <v>63</v>
      </c>
      <c r="B50" s="37"/>
      <c r="C50" s="37"/>
      <c r="D50" s="37"/>
      <c r="E50" s="37"/>
      <c r="F50" s="37"/>
      <c r="G50" s="30"/>
    </row>
    <row r="51" spans="1:7" ht="16.5">
      <c r="A51" s="37" t="s">
        <v>64</v>
      </c>
      <c r="B51" s="37"/>
      <c r="C51" s="37"/>
      <c r="D51" s="37"/>
      <c r="E51" s="37"/>
      <c r="F51" s="37"/>
      <c r="G51" s="30">
        <f>6671.7+43565.07</f>
        <v>50236.77</v>
      </c>
    </row>
    <row r="52" spans="1:7" ht="17.25">
      <c r="A52" s="37" t="s">
        <v>65</v>
      </c>
      <c r="B52" s="37"/>
      <c r="C52" s="37"/>
      <c r="D52" s="37"/>
      <c r="E52" s="37"/>
      <c r="F52" s="37"/>
      <c r="G52" s="30">
        <v>43548.96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112918.6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4">
        <f>G37+G55</f>
        <v>386946.8660077682</v>
      </c>
    </row>
    <row r="57" spans="1:7" ht="15.75">
      <c r="A57" s="29" t="s">
        <v>70</v>
      </c>
      <c r="B57" s="29"/>
      <c r="C57" s="29"/>
      <c r="D57" s="29"/>
      <c r="E57" s="29"/>
      <c r="F57" s="29"/>
      <c r="G57" s="30">
        <v>0</v>
      </c>
    </row>
    <row r="58" spans="1:7" ht="15.75" customHeight="1">
      <c r="A58" s="40" t="s">
        <v>147</v>
      </c>
      <c r="B58" s="40"/>
      <c r="C58" s="40"/>
      <c r="D58" s="40"/>
      <c r="E58" s="40"/>
      <c r="F58" s="40"/>
      <c r="G58" s="34">
        <f>B3*B4*4+B3*B5*2+B3*B6*5+B3*B7*1+G59</f>
        <v>381656.67500000005</v>
      </c>
    </row>
    <row r="59" spans="1:7" ht="16.5">
      <c r="A59" s="41" t="s">
        <v>140</v>
      </c>
      <c r="B59" s="41"/>
      <c r="C59" s="41"/>
      <c r="D59" s="41"/>
      <c r="E59" s="41"/>
      <c r="F59" s="41"/>
      <c r="G59" s="34">
        <f>160*1*12+180*1*12+141.6*1*12+215.6*1*12+269*1*12</f>
        <v>11594.4</v>
      </c>
    </row>
    <row r="60" spans="1:7" ht="21" customHeight="1">
      <c r="A60" s="42" t="s">
        <v>73</v>
      </c>
      <c r="B60" s="42"/>
      <c r="C60" s="42"/>
      <c r="D60" s="42"/>
      <c r="E60" s="42"/>
      <c r="F60" s="42"/>
      <c r="G60" s="47">
        <v>25283.66</v>
      </c>
    </row>
    <row r="61" spans="1:7" ht="61.5" customHeight="1">
      <c r="A61" s="44" t="s">
        <v>110</v>
      </c>
      <c r="B61" s="44"/>
      <c r="C61" s="44"/>
      <c r="D61" s="44"/>
      <c r="E61" s="44"/>
      <c r="F61" s="44"/>
      <c r="G61" s="45">
        <f>G56-G58-G57+G60</f>
        <v>30573.851007768153</v>
      </c>
    </row>
    <row r="65" ht="15.7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5"/>
  </sheetPr>
  <dimension ref="A1:G65"/>
  <sheetViews>
    <sheetView zoomScale="75" zoomScaleNormal="75" workbookViewId="0" topLeftCell="A1">
      <selection activeCell="G24" sqref="G24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2812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3.2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155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1851</v>
      </c>
      <c r="F3" s="8" t="s">
        <v>5</v>
      </c>
      <c r="G3" s="11">
        <v>2</v>
      </c>
    </row>
    <row r="4" spans="1:7" ht="18.75">
      <c r="A4" s="12" t="s">
        <v>6</v>
      </c>
      <c r="B4" s="13">
        <v>9.59</v>
      </c>
      <c r="C4" s="1" t="s">
        <v>93</v>
      </c>
      <c r="F4" s="8" t="s">
        <v>8</v>
      </c>
      <c r="G4" s="9">
        <v>1985</v>
      </c>
    </row>
    <row r="5" spans="1:7" ht="18.75">
      <c r="A5" s="12" t="s">
        <v>6</v>
      </c>
      <c r="B5" s="13">
        <v>9.74</v>
      </c>
      <c r="C5" s="1" t="s">
        <v>94</v>
      </c>
      <c r="F5" s="8"/>
      <c r="G5" s="9"/>
    </row>
    <row r="6" spans="1:7" ht="18.75">
      <c r="A6" s="12" t="s">
        <v>6</v>
      </c>
      <c r="B6" s="13">
        <v>9.79</v>
      </c>
      <c r="C6" s="1" t="s">
        <v>10</v>
      </c>
      <c r="F6" s="8"/>
      <c r="G6" s="9"/>
    </row>
    <row r="7" spans="1:3" ht="18.75">
      <c r="A7" s="12" t="s">
        <v>6</v>
      </c>
      <c r="B7" s="46">
        <v>10.21</v>
      </c>
      <c r="C7" s="1" t="s">
        <v>95</v>
      </c>
    </row>
    <row r="8" spans="1:7" ht="18.75" hidden="1">
      <c r="A8" s="15" t="s">
        <v>12</v>
      </c>
      <c r="B8" s="16">
        <v>265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988</v>
      </c>
      <c r="C11" s="18">
        <v>2194</v>
      </c>
      <c r="D11" s="18">
        <v>935</v>
      </c>
      <c r="E11" s="18">
        <v>2247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380.4</v>
      </c>
      <c r="C13" s="21">
        <v>368.2</v>
      </c>
      <c r="D13" s="21">
        <f>B13+C13</f>
        <v>748.5999999999999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60</v>
      </c>
      <c r="C15" s="25"/>
      <c r="D15" s="25">
        <v>60</v>
      </c>
      <c r="E15" s="26">
        <f>D15+C15+B15</f>
        <v>120</v>
      </c>
      <c r="F15" s="18"/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0">
        <f>B8*7.012*12</f>
        <v>22298.159999999996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0">
        <f>B9*35.705*12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0">
        <f>B12*0.3613*12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0">
        <f>(B11*9.46/100*189)+(C11*7.09/100*113)+(D11*23.66/100*71)+(E11*1.77/100*12)</f>
        <v>51426.4708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13044.1776990736</v>
      </c>
    </row>
    <row r="22" spans="1:7" ht="15.75">
      <c r="A22" s="29" t="s">
        <v>35</v>
      </c>
      <c r="B22" s="29"/>
      <c r="C22" s="29"/>
      <c r="D22" s="29"/>
      <c r="E22" s="29"/>
      <c r="F22" s="29"/>
      <c r="G22" s="30">
        <f>D13*0.135*6</f>
        <v>606.366</v>
      </c>
    </row>
    <row r="23" spans="1:7" ht="16.5">
      <c r="A23" s="29" t="s">
        <v>36</v>
      </c>
      <c r="B23" s="29"/>
      <c r="C23" s="29"/>
      <c r="D23" s="29"/>
      <c r="E23" s="29"/>
      <c r="F23" s="29"/>
      <c r="G23" s="30">
        <v>0</v>
      </c>
    </row>
    <row r="24" spans="1:7" ht="15.75">
      <c r="A24" s="29" t="s">
        <v>37</v>
      </c>
      <c r="B24" s="29"/>
      <c r="C24" s="29"/>
      <c r="D24" s="29"/>
      <c r="E24" s="29"/>
      <c r="F24" s="29"/>
      <c r="G24" s="30">
        <f>B3*0.885*12</f>
        <v>19657.62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5.75">
      <c r="A28" s="29" t="s">
        <v>41</v>
      </c>
      <c r="B28" s="29"/>
      <c r="C28" s="29"/>
      <c r="D28" s="29"/>
      <c r="E28" s="29"/>
      <c r="F28" s="29"/>
      <c r="G28" s="30">
        <f>8448+3017.52+808.68</f>
        <v>12274.2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0">
        <f>B3*1.81*6+B3*1.86*6</f>
        <v>40759.02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565.2</v>
      </c>
    </row>
    <row r="34" spans="1:7" ht="15.75">
      <c r="A34" s="29" t="s">
        <v>47</v>
      </c>
      <c r="B34" s="29"/>
      <c r="C34" s="29"/>
      <c r="D34" s="29"/>
      <c r="E34" s="29"/>
      <c r="F34" s="29"/>
      <c r="G34" s="30">
        <f>B3*0.65*12</f>
        <v>14437.800000000001</v>
      </c>
    </row>
    <row r="35" spans="1:7" ht="15.75">
      <c r="A35" s="29" t="s">
        <v>48</v>
      </c>
      <c r="B35" s="29"/>
      <c r="C35" s="29"/>
      <c r="D35" s="29"/>
      <c r="E35" s="29"/>
      <c r="F35" s="29"/>
      <c r="G35" s="30">
        <f>B3*0.82*12</f>
        <v>18213.840000000004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B3*0.9*12</f>
        <v>19990.800000000003</v>
      </c>
    </row>
    <row r="37" spans="1:7" ht="15.7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213273.65449907357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5.75" hidden="1">
      <c r="A39" s="29" t="s">
        <v>52</v>
      </c>
      <c r="B39" s="29"/>
      <c r="C39" s="29"/>
      <c r="D39" s="29"/>
      <c r="E39" s="29"/>
      <c r="F39" s="29"/>
      <c r="G39" s="30">
        <f>B3*2.96*12</f>
        <v>65747.52</v>
      </c>
    </row>
    <row r="40" spans="1:7" ht="15.75">
      <c r="A40" s="29" t="s">
        <v>53</v>
      </c>
      <c r="B40" s="29"/>
      <c r="C40" s="29"/>
      <c r="D40" s="29"/>
      <c r="E40" s="29"/>
      <c r="F40" s="29"/>
      <c r="G40" s="30"/>
    </row>
    <row r="41" spans="1:7" ht="17.25">
      <c r="A41" s="37" t="s">
        <v>54</v>
      </c>
      <c r="B41" s="37"/>
      <c r="C41" s="37"/>
      <c r="D41" s="37"/>
      <c r="E41" s="37"/>
      <c r="F41" s="37"/>
      <c r="G41" s="30"/>
    </row>
    <row r="42" spans="1:7" ht="17.25">
      <c r="A42" s="37" t="s">
        <v>55</v>
      </c>
      <c r="B42" s="37"/>
      <c r="C42" s="37"/>
      <c r="D42" s="37"/>
      <c r="E42" s="37"/>
      <c r="F42" s="37"/>
      <c r="G42" s="30"/>
    </row>
    <row r="43" spans="1:7" ht="17.25">
      <c r="A43" s="37" t="s">
        <v>56</v>
      </c>
      <c r="B43" s="37"/>
      <c r="C43" s="37"/>
      <c r="D43" s="37"/>
      <c r="E43" s="37"/>
      <c r="F43" s="37"/>
      <c r="G43" s="30"/>
    </row>
    <row r="44" spans="1:7" ht="17.25" hidden="1">
      <c r="A44" s="37" t="s">
        <v>57</v>
      </c>
      <c r="B44" s="37"/>
      <c r="C44" s="37"/>
      <c r="D44" s="37"/>
      <c r="E44" s="37"/>
      <c r="F44" s="37"/>
      <c r="G44" s="30"/>
    </row>
    <row r="45" spans="1:7" ht="17.25" hidden="1">
      <c r="A45" s="37" t="s">
        <v>58</v>
      </c>
      <c r="B45" s="37"/>
      <c r="C45" s="37"/>
      <c r="D45" s="37"/>
      <c r="E45" s="37"/>
      <c r="F45" s="37"/>
      <c r="G45" s="30"/>
    </row>
    <row r="46" spans="1:7" ht="17.25" hidden="1">
      <c r="A46" s="37" t="s">
        <v>59</v>
      </c>
      <c r="B46" s="37"/>
      <c r="C46" s="37"/>
      <c r="D46" s="37"/>
      <c r="E46" s="37"/>
      <c r="F46" s="37"/>
      <c r="G46" s="30"/>
    </row>
    <row r="47" spans="1:7" ht="17.25" hidden="1">
      <c r="A47" s="37" t="s">
        <v>60</v>
      </c>
      <c r="B47" s="37"/>
      <c r="C47" s="37"/>
      <c r="D47" s="37"/>
      <c r="E47" s="37"/>
      <c r="F47" s="37"/>
      <c r="G47" s="30"/>
    </row>
    <row r="48" spans="1:7" ht="16.5" hidden="1">
      <c r="A48" s="37" t="s">
        <v>61</v>
      </c>
      <c r="B48" s="37"/>
      <c r="C48" s="37"/>
      <c r="D48" s="37"/>
      <c r="E48" s="37"/>
      <c r="F48" s="37"/>
      <c r="G48" s="30"/>
    </row>
    <row r="49" spans="1:7" ht="17.25" hidden="1">
      <c r="A49" s="37" t="s">
        <v>62</v>
      </c>
      <c r="B49" s="37"/>
      <c r="C49" s="37"/>
      <c r="D49" s="37"/>
      <c r="E49" s="37"/>
      <c r="F49" s="37"/>
      <c r="G49" s="30"/>
    </row>
    <row r="50" spans="1:7" ht="17.25" hidden="1">
      <c r="A50" s="37" t="s">
        <v>63</v>
      </c>
      <c r="B50" s="37"/>
      <c r="C50" s="37"/>
      <c r="D50" s="37"/>
      <c r="E50" s="37"/>
      <c r="F50" s="37"/>
      <c r="G50" s="30"/>
    </row>
    <row r="51" spans="1:7" ht="17.25">
      <c r="A51" s="37" t="s">
        <v>64</v>
      </c>
      <c r="B51" s="37"/>
      <c r="C51" s="37"/>
      <c r="D51" s="37"/>
      <c r="E51" s="37"/>
      <c r="F51" s="37"/>
      <c r="G51" s="30">
        <v>136512.75</v>
      </c>
    </row>
    <row r="52" spans="1:7" ht="17.25">
      <c r="A52" s="37" t="s">
        <v>65</v>
      </c>
      <c r="B52" s="37"/>
      <c r="C52" s="37"/>
      <c r="D52" s="37"/>
      <c r="E52" s="37"/>
      <c r="F52" s="37"/>
      <c r="G52" s="30">
        <v>20099.52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156612.27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4">
        <f>G37+G55</f>
        <v>369885.92449907353</v>
      </c>
    </row>
    <row r="57" spans="1:7" ht="15.75">
      <c r="A57" s="29" t="s">
        <v>70</v>
      </c>
      <c r="B57" s="29"/>
      <c r="C57" s="29"/>
      <c r="D57" s="29"/>
      <c r="E57" s="29"/>
      <c r="F57" s="29"/>
      <c r="G57" s="30">
        <v>0</v>
      </c>
    </row>
    <row r="58" spans="1:7" ht="15.75" customHeight="1">
      <c r="A58" s="40" t="s">
        <v>147</v>
      </c>
      <c r="B58" s="40"/>
      <c r="C58" s="40"/>
      <c r="D58" s="40"/>
      <c r="E58" s="40"/>
      <c r="F58" s="40"/>
      <c r="G58" s="34">
        <f>B3*B4*4+B3*B5*2+B3*B6*5+B3*B7*1+G59</f>
        <v>228161.39999999997</v>
      </c>
    </row>
    <row r="59" spans="1:7" ht="17.25">
      <c r="A59" s="41" t="s">
        <v>140</v>
      </c>
      <c r="B59" s="41"/>
      <c r="C59" s="41"/>
      <c r="D59" s="41"/>
      <c r="E59" s="41"/>
      <c r="F59" s="41"/>
      <c r="G59" s="30">
        <f>160*1*12+180*1*12+141.6*1*12+215.6*1*12+269*12*1</f>
        <v>11594.4</v>
      </c>
    </row>
    <row r="60" spans="1:7" ht="18.75" customHeight="1">
      <c r="A60" s="42" t="s">
        <v>73</v>
      </c>
      <c r="B60" s="42"/>
      <c r="C60" s="42"/>
      <c r="D60" s="42"/>
      <c r="E60" s="42"/>
      <c r="F60" s="42"/>
      <c r="G60" s="47">
        <v>21188.3</v>
      </c>
    </row>
    <row r="61" spans="1:7" ht="60.75" customHeight="1">
      <c r="A61" s="44" t="s">
        <v>141</v>
      </c>
      <c r="B61" s="44"/>
      <c r="C61" s="44"/>
      <c r="D61" s="44"/>
      <c r="E61" s="44"/>
      <c r="F61" s="44"/>
      <c r="G61" s="48">
        <f>G56-G58+G60-G57</f>
        <v>162912.82449907355</v>
      </c>
    </row>
    <row r="65" ht="15.7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5798611111111112" right="0" top="0.3229166666666667" bottom="0" header="0.5118055555555555" footer="0.5118055555555555"/>
  <pageSetup horizontalDpi="300" verticalDpi="300" orientation="portrait" paperSize="9" scale="95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9"/>
  </sheetPr>
  <dimension ref="A1:G65"/>
  <sheetViews>
    <sheetView zoomScale="75" zoomScaleNormal="75" workbookViewId="0" topLeftCell="A1">
      <selection activeCell="C4" sqref="C4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2812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49.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156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2971.8</v>
      </c>
      <c r="F3" s="8" t="s">
        <v>5</v>
      </c>
      <c r="G3" s="11">
        <v>4</v>
      </c>
    </row>
    <row r="4" spans="1:7" ht="18.75">
      <c r="A4" s="12" t="s">
        <v>6</v>
      </c>
      <c r="B4" s="46">
        <v>11.39</v>
      </c>
      <c r="C4" s="1" t="s">
        <v>93</v>
      </c>
      <c r="F4" s="8" t="s">
        <v>8</v>
      </c>
      <c r="G4" s="9">
        <v>1972</v>
      </c>
    </row>
    <row r="5" spans="1:7" ht="18.75">
      <c r="A5" s="12" t="s">
        <v>6</v>
      </c>
      <c r="B5" s="46">
        <v>11.54</v>
      </c>
      <c r="C5" s="1" t="s">
        <v>94</v>
      </c>
      <c r="F5" s="8"/>
      <c r="G5" s="9"/>
    </row>
    <row r="6" spans="1:7" ht="18.75">
      <c r="A6" s="12" t="s">
        <v>6</v>
      </c>
      <c r="B6" s="46">
        <v>11.59</v>
      </c>
      <c r="C6" s="1" t="s">
        <v>10</v>
      </c>
      <c r="F6" s="8"/>
      <c r="G6" s="9"/>
    </row>
    <row r="7" spans="1:3" ht="18.75">
      <c r="A7" s="12" t="s">
        <v>6</v>
      </c>
      <c r="B7" s="46">
        <v>12.14</v>
      </c>
      <c r="C7" s="1" t="s">
        <v>95</v>
      </c>
    </row>
    <row r="8" spans="1:7" ht="18.75" hidden="1">
      <c r="A8" s="15" t="s">
        <v>12</v>
      </c>
      <c r="B8" s="64">
        <v>318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1029</v>
      </c>
      <c r="C11" s="18">
        <v>3511</v>
      </c>
      <c r="D11" s="18">
        <v>443</v>
      </c>
      <c r="E11" s="18">
        <v>3777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543.3</v>
      </c>
      <c r="C13" s="21">
        <v>527.5</v>
      </c>
      <c r="D13" s="21">
        <f>B13+C13</f>
        <v>1070.8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59</v>
      </c>
      <c r="C15" s="25"/>
      <c r="D15" s="25">
        <v>59</v>
      </c>
      <c r="E15" s="26">
        <f>D15+C15+B15</f>
        <v>118</v>
      </c>
      <c r="F15" s="18"/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6">
        <f>B8*8.689*12</f>
        <v>33157.224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6">
        <f>B9*19.029*12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6">
        <f>B12*0.4522*12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6">
        <f>(B11*12.84/100*189)+(C11*9.63/100*113)+(D11*32.11/100*71)+(E11*2.41/100*12)</f>
        <v>74369.57800000001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20942.564714266304</v>
      </c>
    </row>
    <row r="22" spans="1:7" ht="15.75">
      <c r="A22" s="29" t="s">
        <v>35</v>
      </c>
      <c r="B22" s="29"/>
      <c r="C22" s="29"/>
      <c r="D22" s="29"/>
      <c r="E22" s="29"/>
      <c r="F22" s="29"/>
      <c r="G22" s="36">
        <f>D13*0.135*6</f>
        <v>867.348</v>
      </c>
    </row>
    <row r="23" spans="1:7" ht="16.5">
      <c r="A23" s="29" t="s">
        <v>36</v>
      </c>
      <c r="B23" s="29"/>
      <c r="C23" s="29"/>
      <c r="D23" s="29"/>
      <c r="E23" s="29"/>
      <c r="F23" s="29"/>
      <c r="G23" s="30">
        <f>114.94+3602.84+732.78+316.1+3965.51</f>
        <v>8732.170000000002</v>
      </c>
    </row>
    <row r="24" spans="1:7" ht="15.75">
      <c r="A24" s="29" t="s">
        <v>37</v>
      </c>
      <c r="B24" s="29"/>
      <c r="C24" s="29"/>
      <c r="D24" s="29"/>
      <c r="E24" s="29"/>
      <c r="F24" s="29"/>
      <c r="G24" s="36">
        <f>B3*0.885*12</f>
        <v>31560.516000000003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6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6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6">
        <v>0</v>
      </c>
    </row>
    <row r="28" spans="1:7" ht="15.75">
      <c r="A28" s="29" t="s">
        <v>41</v>
      </c>
      <c r="B28" s="29"/>
      <c r="C28" s="29"/>
      <c r="D28" s="29"/>
      <c r="E28" s="29"/>
      <c r="F28" s="29"/>
      <c r="G28" s="36">
        <f>4224+3017.52+269.56</f>
        <v>7511.080000000001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6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6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6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6">
        <f>B3*1.81*6+B3*1.86*6</f>
        <v>65439.03600000001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6">
        <f>(F15*4*8.57)+(B15*2*3.14)+(C15*1*3.14)+(D15*1*3.14)</f>
        <v>555.7800000000001</v>
      </c>
    </row>
    <row r="34" spans="1:7" ht="15.75">
      <c r="A34" s="29" t="s">
        <v>47</v>
      </c>
      <c r="B34" s="29"/>
      <c r="C34" s="29"/>
      <c r="D34" s="29"/>
      <c r="E34" s="29"/>
      <c r="F34" s="29"/>
      <c r="G34" s="36">
        <f>B3*0.65*12</f>
        <v>23180.04</v>
      </c>
    </row>
    <row r="35" spans="1:7" ht="15.75">
      <c r="A35" s="29" t="s">
        <v>48</v>
      </c>
      <c r="B35" s="29"/>
      <c r="C35" s="29"/>
      <c r="D35" s="29"/>
      <c r="E35" s="29"/>
      <c r="F35" s="29"/>
      <c r="G35" s="36">
        <f>B3*0.82*12</f>
        <v>29242.512000000002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6">
        <f>B3*0.95*12</f>
        <v>33878.520000000004</v>
      </c>
    </row>
    <row r="37" spans="1:7" ht="15.75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329436.36871426634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5.75" hidden="1">
      <c r="A39" s="29" t="s">
        <v>52</v>
      </c>
      <c r="B39" s="29"/>
      <c r="C39" s="29"/>
      <c r="D39" s="29"/>
      <c r="E39" s="29"/>
      <c r="F39" s="29"/>
      <c r="G39" s="36">
        <f>B3*2.96*12</f>
        <v>105558.33600000001</v>
      </c>
    </row>
    <row r="40" spans="1:7" ht="15.75">
      <c r="A40" s="29" t="s">
        <v>53</v>
      </c>
      <c r="B40" s="29"/>
      <c r="C40" s="29"/>
      <c r="D40" s="29"/>
      <c r="E40" s="29"/>
      <c r="F40" s="29"/>
      <c r="G40" s="36"/>
    </row>
    <row r="41" spans="1:7" ht="17.25" hidden="1">
      <c r="A41" s="37" t="s">
        <v>54</v>
      </c>
      <c r="B41" s="37"/>
      <c r="C41" s="37"/>
      <c r="D41" s="37"/>
      <c r="E41" s="37"/>
      <c r="F41" s="37"/>
      <c r="G41" s="36"/>
    </row>
    <row r="42" spans="1:7" ht="16.5">
      <c r="A42" s="37" t="s">
        <v>55</v>
      </c>
      <c r="B42" s="37"/>
      <c r="C42" s="37"/>
      <c r="D42" s="37"/>
      <c r="E42" s="37"/>
      <c r="F42" s="37"/>
      <c r="G42" s="36"/>
    </row>
    <row r="43" spans="1:7" ht="16.5">
      <c r="A43" s="37" t="s">
        <v>56</v>
      </c>
      <c r="B43" s="37"/>
      <c r="C43" s="37"/>
      <c r="D43" s="37"/>
      <c r="E43" s="37"/>
      <c r="F43" s="37"/>
      <c r="G43" s="36"/>
    </row>
    <row r="44" spans="1:7" ht="16.5" hidden="1">
      <c r="A44" s="37" t="s">
        <v>57</v>
      </c>
      <c r="B44" s="37"/>
      <c r="C44" s="37"/>
      <c r="D44" s="37"/>
      <c r="E44" s="37"/>
      <c r="F44" s="37"/>
      <c r="G44" s="30"/>
    </row>
    <row r="45" spans="1:7" ht="16.5" hidden="1">
      <c r="A45" s="37" t="s">
        <v>58</v>
      </c>
      <c r="B45" s="37"/>
      <c r="C45" s="37"/>
      <c r="D45" s="37"/>
      <c r="E45" s="37"/>
      <c r="F45" s="37"/>
      <c r="G45" s="30"/>
    </row>
    <row r="46" spans="1:7" ht="16.5">
      <c r="A46" s="37" t="s">
        <v>59</v>
      </c>
      <c r="B46" s="37"/>
      <c r="C46" s="37"/>
      <c r="D46" s="37"/>
      <c r="E46" s="37"/>
      <c r="F46" s="37"/>
      <c r="G46" s="30">
        <v>756.1</v>
      </c>
    </row>
    <row r="47" spans="1:7" ht="16.5">
      <c r="A47" s="37" t="s">
        <v>60</v>
      </c>
      <c r="B47" s="37"/>
      <c r="C47" s="37"/>
      <c r="D47" s="37"/>
      <c r="E47" s="37"/>
      <c r="F47" s="37"/>
      <c r="G47" s="30">
        <f>1554+724.56+2049.35</f>
        <v>4327.91</v>
      </c>
    </row>
    <row r="48" spans="1:7" ht="16.5">
      <c r="A48" s="37" t="s">
        <v>61</v>
      </c>
      <c r="B48" s="37"/>
      <c r="C48" s="37"/>
      <c r="D48" s="37"/>
      <c r="E48" s="37"/>
      <c r="F48" s="37"/>
      <c r="G48" s="30">
        <f>2520.06+2520.06</f>
        <v>5040.12</v>
      </c>
    </row>
    <row r="49" spans="1:7" ht="17.25">
      <c r="A49" s="37" t="s">
        <v>62</v>
      </c>
      <c r="B49" s="37"/>
      <c r="C49" s="37"/>
      <c r="D49" s="37"/>
      <c r="E49" s="37"/>
      <c r="F49" s="37"/>
      <c r="G49" s="30">
        <v>4378.63</v>
      </c>
    </row>
    <row r="50" spans="1:7" ht="17.25" hidden="1">
      <c r="A50" s="37" t="s">
        <v>63</v>
      </c>
      <c r="B50" s="37"/>
      <c r="C50" s="37"/>
      <c r="D50" s="37"/>
      <c r="E50" s="37"/>
      <c r="F50" s="37"/>
      <c r="G50" s="30"/>
    </row>
    <row r="51" spans="1:7" ht="17.25" hidden="1">
      <c r="A51" s="37" t="s">
        <v>64</v>
      </c>
      <c r="B51" s="37"/>
      <c r="C51" s="37"/>
      <c r="D51" s="37"/>
      <c r="E51" s="37"/>
      <c r="F51" s="37"/>
      <c r="G51" s="30"/>
    </row>
    <row r="52" spans="1:7" ht="17.25">
      <c r="A52" s="37" t="s">
        <v>65</v>
      </c>
      <c r="B52" s="37"/>
      <c r="C52" s="37"/>
      <c r="D52" s="37"/>
      <c r="E52" s="37"/>
      <c r="F52" s="37"/>
      <c r="G52" s="30">
        <v>40198.2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54700.96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4">
        <f>G37+G55</f>
        <v>384137.32871426636</v>
      </c>
    </row>
    <row r="57" spans="1:7" ht="15.75">
      <c r="A57" s="29" t="s">
        <v>70</v>
      </c>
      <c r="B57" s="29"/>
      <c r="C57" s="29"/>
      <c r="D57" s="29"/>
      <c r="E57" s="29"/>
      <c r="F57" s="29"/>
      <c r="G57" s="30">
        <f>-569.98-942.35-1481.93-1413.49</f>
        <v>-4407.75</v>
      </c>
    </row>
    <row r="58" spans="1:7" ht="15.75" customHeight="1">
      <c r="A58" s="40" t="s">
        <v>147</v>
      </c>
      <c r="B58" s="40"/>
      <c r="C58" s="40"/>
      <c r="D58" s="40"/>
      <c r="E58" s="40"/>
      <c r="F58" s="40"/>
      <c r="G58" s="34">
        <f>B3*B4*4+B3*B5*2+B3*B6*5+B3*B7*1+G59</f>
        <v>424940.21400000004</v>
      </c>
    </row>
    <row r="59" spans="1:7" ht="17.25">
      <c r="A59" s="41" t="s">
        <v>140</v>
      </c>
      <c r="B59" s="41"/>
      <c r="C59" s="41"/>
      <c r="D59" s="41"/>
      <c r="E59" s="41"/>
      <c r="F59" s="41"/>
      <c r="G59" s="30">
        <f>160*1*12+141.6*1*12+215.6*1*12+269*2*12</f>
        <v>12662.4</v>
      </c>
    </row>
    <row r="60" spans="1:7" ht="18.75" customHeight="1">
      <c r="A60" s="42" t="s">
        <v>73</v>
      </c>
      <c r="B60" s="42"/>
      <c r="C60" s="42"/>
      <c r="D60" s="42"/>
      <c r="E60" s="42"/>
      <c r="F60" s="42"/>
      <c r="G60" s="47">
        <v>22378.46</v>
      </c>
    </row>
    <row r="61" spans="1:7" ht="54" customHeight="1">
      <c r="A61" s="44" t="s">
        <v>157</v>
      </c>
      <c r="B61" s="44"/>
      <c r="C61" s="44"/>
      <c r="D61" s="44"/>
      <c r="E61" s="44"/>
      <c r="F61" s="44"/>
      <c r="G61" s="48">
        <f>G56-G58+G60-G57</f>
        <v>-14016.675285733676</v>
      </c>
    </row>
    <row r="65" ht="15.7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5"/>
  </sheetPr>
  <dimension ref="A1:G65"/>
  <sheetViews>
    <sheetView zoomScale="75" zoomScaleNormal="75" workbookViewId="0" topLeftCell="A4">
      <selection activeCell="G21" sqref="G21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57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0.2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158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4406</v>
      </c>
      <c r="F3" s="8" t="s">
        <v>5</v>
      </c>
      <c r="G3" s="11">
        <v>6</v>
      </c>
    </row>
    <row r="4" spans="1:7" ht="18.75">
      <c r="A4" s="12" t="s">
        <v>6</v>
      </c>
      <c r="B4" s="46">
        <v>9.59</v>
      </c>
      <c r="C4" s="1" t="s">
        <v>93</v>
      </c>
      <c r="F4" s="8" t="s">
        <v>8</v>
      </c>
      <c r="G4" s="9">
        <v>1972</v>
      </c>
    </row>
    <row r="5" spans="1:7" ht="18.75">
      <c r="A5" s="12" t="s">
        <v>6</v>
      </c>
      <c r="B5" s="46">
        <v>9.74</v>
      </c>
      <c r="C5" s="1" t="s">
        <v>94</v>
      </c>
      <c r="F5" s="8"/>
      <c r="G5" s="9"/>
    </row>
    <row r="6" spans="1:7" ht="18.75">
      <c r="A6" s="12" t="s">
        <v>6</v>
      </c>
      <c r="B6" s="46">
        <v>9.79</v>
      </c>
      <c r="C6" s="1" t="s">
        <v>10</v>
      </c>
      <c r="F6" s="8"/>
      <c r="G6" s="9"/>
    </row>
    <row r="7" spans="1:3" ht="18.75">
      <c r="A7" s="12" t="s">
        <v>6</v>
      </c>
      <c r="B7" s="46">
        <v>10.21</v>
      </c>
      <c r="C7" s="1" t="s">
        <v>95</v>
      </c>
    </row>
    <row r="8" spans="1:7" ht="18.75" hidden="1">
      <c r="A8" s="15" t="s">
        <v>12</v>
      </c>
      <c r="B8" s="16">
        <v>496.8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1489</v>
      </c>
      <c r="C11" s="18">
        <v>2627</v>
      </c>
      <c r="D11" s="18">
        <v>1049</v>
      </c>
      <c r="E11" s="18">
        <v>2627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842.6</v>
      </c>
      <c r="C13" s="21">
        <v>881.2</v>
      </c>
      <c r="D13" s="21">
        <f>B13+C13</f>
        <v>1723.8000000000002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90</v>
      </c>
      <c r="C15" s="25"/>
      <c r="D15" s="25">
        <v>90</v>
      </c>
      <c r="E15" s="26">
        <f>D15+C15+B15</f>
        <v>180</v>
      </c>
      <c r="F15" s="18"/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6">
        <f>B8*7.012*12</f>
        <v>41802.739199999996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6">
        <f>B9*35.705*12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6">
        <f>B12*0.3613*12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6">
        <f>(B11*9.46/100*189)+(C11*7.09/100*113)+(D11*23.66/100*71)+(E11*1.77/100*12)</f>
        <v>65848.86869999999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31049.51212432106</v>
      </c>
    </row>
    <row r="22" spans="1:7" ht="15.75">
      <c r="A22" s="29" t="s">
        <v>35</v>
      </c>
      <c r="B22" s="29"/>
      <c r="C22" s="29"/>
      <c r="D22" s="29"/>
      <c r="E22" s="29"/>
      <c r="F22" s="29"/>
      <c r="G22" s="36">
        <f>D13*0.135*6</f>
        <v>1396.2780000000002</v>
      </c>
    </row>
    <row r="23" spans="1:7" ht="15.75">
      <c r="A23" s="29" t="s">
        <v>36</v>
      </c>
      <c r="B23" s="29"/>
      <c r="C23" s="29"/>
      <c r="D23" s="29"/>
      <c r="E23" s="29"/>
      <c r="F23" s="29"/>
      <c r="G23" s="36">
        <f>114.94+5495.85+1099.17+474.15+5948.26</f>
        <v>13132.369999999999</v>
      </c>
    </row>
    <row r="24" spans="1:7" ht="15.75">
      <c r="A24" s="29" t="s">
        <v>37</v>
      </c>
      <c r="B24" s="29"/>
      <c r="C24" s="29"/>
      <c r="D24" s="29"/>
      <c r="E24" s="29"/>
      <c r="F24" s="29"/>
      <c r="G24" s="36">
        <f>B3*0.885*12</f>
        <v>46791.72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6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6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6">
        <v>0</v>
      </c>
    </row>
    <row r="28" spans="1:7" ht="15.75">
      <c r="A28" s="29" t="s">
        <v>41</v>
      </c>
      <c r="B28" s="29"/>
      <c r="C28" s="29"/>
      <c r="D28" s="29"/>
      <c r="E28" s="29"/>
      <c r="F28" s="29"/>
      <c r="G28" s="36">
        <v>7511.08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6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6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6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6">
        <f>B3*1.81*6+B3*1.86*6</f>
        <v>97020.12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6">
        <f>(F15*4*8.57)+(B15*2*3.14)+(C15*1*3.14)+(D15*1*3.14)</f>
        <v>847.8000000000001</v>
      </c>
    </row>
    <row r="34" spans="1:7" ht="15.75">
      <c r="A34" s="29" t="s">
        <v>47</v>
      </c>
      <c r="B34" s="29"/>
      <c r="C34" s="29"/>
      <c r="D34" s="29"/>
      <c r="E34" s="29"/>
      <c r="F34" s="29"/>
      <c r="G34" s="36">
        <f>B3*0.65*12</f>
        <v>34366.8</v>
      </c>
    </row>
    <row r="35" spans="1:7" ht="15.75">
      <c r="A35" s="29" t="s">
        <v>48</v>
      </c>
      <c r="B35" s="29"/>
      <c r="C35" s="29"/>
      <c r="D35" s="29"/>
      <c r="E35" s="29"/>
      <c r="F35" s="29"/>
      <c r="G35" s="36">
        <f>B3*0.82*12</f>
        <v>43355.04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6">
        <f>B3*0.9*12</f>
        <v>47584.8</v>
      </c>
    </row>
    <row r="37" spans="1:7" ht="15.75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430707.12802432093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5.75" hidden="1">
      <c r="A39" s="29" t="s">
        <v>52</v>
      </c>
      <c r="B39" s="29"/>
      <c r="C39" s="29"/>
      <c r="D39" s="29"/>
      <c r="E39" s="29"/>
      <c r="F39" s="29"/>
      <c r="G39" s="36">
        <f>B3*2.96*12</f>
        <v>156501.12</v>
      </c>
    </row>
    <row r="40" spans="1:7" ht="15.75">
      <c r="A40" s="29" t="s">
        <v>53</v>
      </c>
      <c r="B40" s="29"/>
      <c r="C40" s="29"/>
      <c r="D40" s="29"/>
      <c r="E40" s="29"/>
      <c r="F40" s="29"/>
      <c r="G40" s="36"/>
    </row>
    <row r="41" spans="1:7" ht="16.5">
      <c r="A41" s="37" t="s">
        <v>54</v>
      </c>
      <c r="B41" s="37"/>
      <c r="C41" s="37"/>
      <c r="D41" s="37"/>
      <c r="E41" s="37"/>
      <c r="F41" s="37"/>
      <c r="G41" s="36">
        <v>1082.67</v>
      </c>
    </row>
    <row r="42" spans="1:7" ht="16.5">
      <c r="A42" s="37" t="s">
        <v>55</v>
      </c>
      <c r="B42" s="37"/>
      <c r="C42" s="37"/>
      <c r="D42" s="37"/>
      <c r="E42" s="37"/>
      <c r="F42" s="37"/>
      <c r="G42" s="36">
        <v>736.15</v>
      </c>
    </row>
    <row r="43" spans="1:7" ht="16.5">
      <c r="A43" s="37" t="s">
        <v>56</v>
      </c>
      <c r="B43" s="37"/>
      <c r="C43" s="37"/>
      <c r="D43" s="37"/>
      <c r="E43" s="37"/>
      <c r="F43" s="37"/>
      <c r="G43" s="36">
        <v>1490.13</v>
      </c>
    </row>
    <row r="44" spans="1:7" ht="16.5" hidden="1">
      <c r="A44" s="37" t="s">
        <v>57</v>
      </c>
      <c r="B44" s="37"/>
      <c r="C44" s="37"/>
      <c r="D44" s="37"/>
      <c r="E44" s="37"/>
      <c r="F44" s="37"/>
      <c r="G44" s="36"/>
    </row>
    <row r="45" spans="1:7" ht="16.5" hidden="1">
      <c r="A45" s="37" t="s">
        <v>58</v>
      </c>
      <c r="B45" s="37"/>
      <c r="C45" s="37"/>
      <c r="D45" s="37"/>
      <c r="E45" s="37"/>
      <c r="F45" s="37"/>
      <c r="G45" s="36"/>
    </row>
    <row r="46" spans="1:7" ht="16.5">
      <c r="A46" s="37" t="s">
        <v>59</v>
      </c>
      <c r="B46" s="37"/>
      <c r="C46" s="37"/>
      <c r="D46" s="37"/>
      <c r="E46" s="37"/>
      <c r="F46" s="37"/>
      <c r="G46" s="36"/>
    </row>
    <row r="47" spans="1:7" ht="16.5">
      <c r="A47" s="37" t="s">
        <v>60</v>
      </c>
      <c r="B47" s="37"/>
      <c r="C47" s="37"/>
      <c r="D47" s="37"/>
      <c r="E47" s="37"/>
      <c r="F47" s="37"/>
      <c r="G47" s="36">
        <f>42.08+71.63</f>
        <v>113.71</v>
      </c>
    </row>
    <row r="48" spans="1:7" ht="16.5">
      <c r="A48" s="37" t="s">
        <v>61</v>
      </c>
      <c r="B48" s="37"/>
      <c r="C48" s="37"/>
      <c r="D48" s="37"/>
      <c r="E48" s="37"/>
      <c r="F48" s="37"/>
      <c r="G48" s="36">
        <f>866.42+10290.23</f>
        <v>11156.65</v>
      </c>
    </row>
    <row r="49" spans="1:7" ht="17.25">
      <c r="A49" s="37" t="s">
        <v>62</v>
      </c>
      <c r="B49" s="37"/>
      <c r="C49" s="37"/>
      <c r="D49" s="37"/>
      <c r="E49" s="37"/>
      <c r="F49" s="37"/>
      <c r="G49" s="36">
        <v>10526.78</v>
      </c>
    </row>
    <row r="50" spans="1:7" ht="17.25">
      <c r="A50" s="37" t="s">
        <v>63</v>
      </c>
      <c r="B50" s="37"/>
      <c r="C50" s="37"/>
      <c r="D50" s="37"/>
      <c r="E50" s="37"/>
      <c r="F50" s="37"/>
      <c r="G50" s="36"/>
    </row>
    <row r="51" spans="1:7" ht="17.25">
      <c r="A51" s="37" t="s">
        <v>64</v>
      </c>
      <c r="B51" s="37"/>
      <c r="C51" s="37"/>
      <c r="D51" s="37"/>
      <c r="E51" s="37"/>
      <c r="F51" s="37"/>
      <c r="G51" s="36">
        <f>74238.44+149024.58</f>
        <v>223263.02</v>
      </c>
    </row>
    <row r="52" spans="1:7" ht="17.25">
      <c r="A52" s="37" t="s">
        <v>65</v>
      </c>
      <c r="B52" s="37"/>
      <c r="C52" s="37"/>
      <c r="D52" s="37"/>
      <c r="E52" s="37"/>
      <c r="F52" s="37"/>
      <c r="G52" s="36">
        <v>39241.92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287611.02999999997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718318.1580243208</v>
      </c>
    </row>
    <row r="57" spans="1:7" ht="15.75">
      <c r="A57" s="29" t="s">
        <v>70</v>
      </c>
      <c r="B57" s="29"/>
      <c r="C57" s="29"/>
      <c r="D57" s="29"/>
      <c r="E57" s="29"/>
      <c r="F57" s="29"/>
      <c r="G57" s="36">
        <f>-170.12-340.29-1553.16-2630.5-2442.56-1359.06</f>
        <v>-8495.689999999999</v>
      </c>
    </row>
    <row r="58" spans="1:7" ht="15.75" customHeight="1">
      <c r="A58" s="40" t="s">
        <v>147</v>
      </c>
      <c r="B58" s="40"/>
      <c r="C58" s="40"/>
      <c r="D58" s="40"/>
      <c r="E58" s="40"/>
      <c r="F58" s="40"/>
      <c r="G58" s="39">
        <f>B3*B4*4+B3*B5*2+B3*B6*5+B3*B7*1+G59</f>
        <v>533722.8</v>
      </c>
    </row>
    <row r="59" spans="1:7" ht="15.75">
      <c r="A59" s="41" t="s">
        <v>140</v>
      </c>
      <c r="B59" s="41"/>
      <c r="C59" s="41"/>
      <c r="D59" s="41"/>
      <c r="E59" s="41"/>
      <c r="F59" s="41"/>
      <c r="G59" s="39">
        <f>160*1*12+180*1*12+141.6*1*12+215.6*1*12+269*2*12+141.6*2*12</f>
        <v>18220.8</v>
      </c>
    </row>
    <row r="60" spans="1:7" ht="15.75" customHeight="1">
      <c r="A60" s="42" t="s">
        <v>73</v>
      </c>
      <c r="B60" s="42"/>
      <c r="C60" s="42"/>
      <c r="D60" s="42"/>
      <c r="E60" s="42"/>
      <c r="F60" s="42"/>
      <c r="G60" s="43">
        <v>57859</v>
      </c>
    </row>
    <row r="61" spans="1:7" ht="58.5" customHeight="1">
      <c r="A61" s="44" t="s">
        <v>159</v>
      </c>
      <c r="B61" s="44"/>
      <c r="C61" s="44"/>
      <c r="D61" s="44"/>
      <c r="E61" s="44"/>
      <c r="F61" s="44"/>
      <c r="G61" s="45">
        <f>G56-G58+G60-G57</f>
        <v>250950.0480243208</v>
      </c>
    </row>
    <row r="65" ht="15.7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G65"/>
  <sheetViews>
    <sheetView zoomScale="75" zoomScaleNormal="75" workbookViewId="0" topLeftCell="A1">
      <selection activeCell="G59" sqref="G59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6.71093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1.7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92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2631.6</v>
      </c>
      <c r="F3" s="8" t="s">
        <v>5</v>
      </c>
      <c r="G3" s="11">
        <v>4</v>
      </c>
    </row>
    <row r="4" spans="1:7" ht="18.75">
      <c r="A4" s="12" t="s">
        <v>6</v>
      </c>
      <c r="B4" s="13">
        <v>9.59</v>
      </c>
      <c r="C4" s="1" t="s">
        <v>93</v>
      </c>
      <c r="F4" s="8" t="s">
        <v>8</v>
      </c>
      <c r="G4" s="9">
        <v>1976</v>
      </c>
    </row>
    <row r="5" spans="1:7" ht="18.75">
      <c r="A5" s="12" t="s">
        <v>6</v>
      </c>
      <c r="B5" s="13">
        <v>9.74</v>
      </c>
      <c r="C5" s="1" t="s">
        <v>94</v>
      </c>
      <c r="F5" s="8"/>
      <c r="G5" s="9"/>
    </row>
    <row r="6" spans="1:3" ht="18.75">
      <c r="A6" s="12" t="s">
        <v>6</v>
      </c>
      <c r="B6" s="13">
        <v>9.79</v>
      </c>
      <c r="C6" s="1" t="s">
        <v>10</v>
      </c>
    </row>
    <row r="7" spans="1:3" ht="18.75">
      <c r="A7" s="12" t="s">
        <v>6</v>
      </c>
      <c r="B7" s="13">
        <v>10.21</v>
      </c>
      <c r="C7" s="1" t="s">
        <v>95</v>
      </c>
    </row>
    <row r="8" spans="1:7" ht="18.75" hidden="1">
      <c r="A8" s="15" t="s">
        <v>12</v>
      </c>
      <c r="B8" s="16">
        <v>330.2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35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703</v>
      </c>
      <c r="C11" s="18">
        <v>1138</v>
      </c>
      <c r="D11" s="18">
        <v>703</v>
      </c>
      <c r="E11" s="18">
        <v>1138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608.3</v>
      </c>
      <c r="C13" s="21">
        <v>523.6</v>
      </c>
      <c r="D13" s="21">
        <f>B13+C13</f>
        <v>1131.9</v>
      </c>
      <c r="E13" s="17"/>
      <c r="F13" s="17"/>
      <c r="G13" s="17"/>
    </row>
    <row r="14" spans="1:7" ht="48.75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56</v>
      </c>
      <c r="C15" s="25"/>
      <c r="D15" s="25">
        <v>56</v>
      </c>
      <c r="E15" s="26">
        <f>D15+C15+B15</f>
        <v>112</v>
      </c>
      <c r="F15" s="18"/>
      <c r="G15" s="17"/>
    </row>
    <row r="16" spans="1:7" ht="16.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6.5">
      <c r="A17" s="29" t="s">
        <v>30</v>
      </c>
      <c r="B17" s="29"/>
      <c r="C17" s="29"/>
      <c r="D17" s="29"/>
      <c r="E17" s="29"/>
      <c r="F17" s="29"/>
      <c r="G17" s="30">
        <f>B8*7.012*12</f>
        <v>27784.3488</v>
      </c>
    </row>
    <row r="18" spans="1:7" ht="16.5" hidden="1">
      <c r="A18" s="29" t="s">
        <v>31</v>
      </c>
      <c r="B18" s="29"/>
      <c r="C18" s="29"/>
      <c r="D18" s="29"/>
      <c r="E18" s="29"/>
      <c r="F18" s="29"/>
      <c r="G18" s="30">
        <f>B9*35.705*12</f>
        <v>0</v>
      </c>
    </row>
    <row r="19" spans="1:7" ht="16.5" customHeight="1" hidden="1">
      <c r="A19" s="29" t="s">
        <v>85</v>
      </c>
      <c r="B19" s="29"/>
      <c r="C19" s="29"/>
      <c r="D19" s="29"/>
      <c r="E19" s="29"/>
      <c r="F19" s="29"/>
      <c r="G19" s="30">
        <f>B12*0.3613*12</f>
        <v>0</v>
      </c>
    </row>
    <row r="20" spans="1:7" ht="16.5">
      <c r="A20" s="29" t="s">
        <v>33</v>
      </c>
      <c r="B20" s="29"/>
      <c r="C20" s="29"/>
      <c r="D20" s="29"/>
      <c r="E20" s="29"/>
      <c r="F20" s="29"/>
      <c r="G20" s="30">
        <f>(B11*9.46/100*189)+(C11*7.09/100*113)+(D11*23.66/100*71)+(E11*1.77/100*12)</f>
        <v>33737.6598</v>
      </c>
    </row>
    <row r="21" spans="1:7" ht="18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18545.142103123762</v>
      </c>
    </row>
    <row r="22" spans="1:7" ht="16.5">
      <c r="A22" s="29" t="s">
        <v>35</v>
      </c>
      <c r="B22" s="29"/>
      <c r="C22" s="29"/>
      <c r="D22" s="29"/>
      <c r="E22" s="29"/>
      <c r="F22" s="29"/>
      <c r="G22" s="30">
        <f>D13*0.135*6</f>
        <v>916.8390000000002</v>
      </c>
    </row>
    <row r="23" spans="1:7" ht="16.5">
      <c r="A23" s="29" t="s">
        <v>36</v>
      </c>
      <c r="B23" s="29"/>
      <c r="C23" s="29"/>
      <c r="D23" s="29"/>
      <c r="E23" s="29"/>
      <c r="F23" s="29"/>
      <c r="G23" s="30">
        <f>114.94+3419.64+732.78+316.1+3965.51</f>
        <v>8548.970000000001</v>
      </c>
    </row>
    <row r="24" spans="1:7" ht="16.5">
      <c r="A24" s="29" t="s">
        <v>37</v>
      </c>
      <c r="B24" s="29"/>
      <c r="C24" s="29"/>
      <c r="D24" s="29"/>
      <c r="E24" s="29"/>
      <c r="F24" s="29"/>
      <c r="G24" s="30">
        <f>B3*0.885*12</f>
        <v>27947.591999999997</v>
      </c>
    </row>
    <row r="25" spans="1:7" ht="16.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6.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6.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6.5">
      <c r="A28" s="29" t="s">
        <v>96</v>
      </c>
      <c r="B28" s="29"/>
      <c r="C28" s="29"/>
      <c r="D28" s="29"/>
      <c r="E28" s="29"/>
      <c r="F28" s="29"/>
      <c r="G28" s="30">
        <f>3017.52+539.12</f>
        <v>3556.64</v>
      </c>
    </row>
    <row r="29" spans="1:7" ht="16.5">
      <c r="A29" s="29" t="s">
        <v>97</v>
      </c>
      <c r="B29" s="29"/>
      <c r="C29" s="29"/>
      <c r="D29" s="29"/>
      <c r="E29" s="29"/>
      <c r="F29" s="29"/>
      <c r="G29" s="30">
        <f>4224</f>
        <v>4224</v>
      </c>
    </row>
    <row r="30" spans="1:7" ht="16.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6.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6.5">
      <c r="A32" s="29" t="s">
        <v>45</v>
      </c>
      <c r="B32" s="29"/>
      <c r="C32" s="29"/>
      <c r="D32" s="29"/>
      <c r="E32" s="29"/>
      <c r="F32" s="29"/>
      <c r="G32" s="30">
        <f>B3*1.81*6+B3*1.86*6</f>
        <v>57947.831999999995</v>
      </c>
    </row>
    <row r="33" spans="1:7" ht="18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527.52</v>
      </c>
    </row>
    <row r="34" spans="1:7" ht="16.5">
      <c r="A34" s="29" t="s">
        <v>47</v>
      </c>
      <c r="B34" s="29"/>
      <c r="C34" s="29"/>
      <c r="D34" s="29"/>
      <c r="E34" s="29"/>
      <c r="F34" s="29"/>
      <c r="G34" s="30">
        <f>B3*0.65*12</f>
        <v>20526.48</v>
      </c>
    </row>
    <row r="35" spans="1:7" ht="16.5">
      <c r="A35" s="29" t="s">
        <v>48</v>
      </c>
      <c r="B35" s="29"/>
      <c r="C35" s="29"/>
      <c r="D35" s="29"/>
      <c r="E35" s="29"/>
      <c r="F35" s="29"/>
      <c r="G35" s="30">
        <f>B3*0.82*12</f>
        <v>25894.944000000003</v>
      </c>
    </row>
    <row r="36" spans="1:7" ht="16.5" customHeight="1">
      <c r="A36" s="29" t="s">
        <v>49</v>
      </c>
      <c r="B36" s="29"/>
      <c r="C36" s="29"/>
      <c r="D36" s="29"/>
      <c r="E36" s="29"/>
      <c r="F36" s="29"/>
      <c r="G36" s="30">
        <f>B3*0.9*12</f>
        <v>28421.28</v>
      </c>
    </row>
    <row r="37" spans="1:7" ht="16.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258579.2477031238</v>
      </c>
    </row>
    <row r="38" spans="1:7" ht="18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6.5" hidden="1">
      <c r="A39" s="29" t="s">
        <v>52</v>
      </c>
      <c r="B39" s="29"/>
      <c r="C39" s="29"/>
      <c r="D39" s="29"/>
      <c r="E39" s="29"/>
      <c r="F39" s="29"/>
      <c r="G39" s="30">
        <f>B3*2.96*12</f>
        <v>93474.432</v>
      </c>
    </row>
    <row r="40" spans="1:7" ht="16.5">
      <c r="A40" s="29" t="s">
        <v>53</v>
      </c>
      <c r="B40" s="29"/>
      <c r="C40" s="29"/>
      <c r="D40" s="29"/>
      <c r="E40" s="29"/>
      <c r="F40" s="29"/>
      <c r="G40" s="30"/>
    </row>
    <row r="41" spans="1:7" ht="16.5">
      <c r="A41" s="37" t="s">
        <v>54</v>
      </c>
      <c r="B41" s="37"/>
      <c r="C41" s="37"/>
      <c r="D41" s="37"/>
      <c r="E41" s="37"/>
      <c r="F41" s="37"/>
      <c r="G41" s="30"/>
    </row>
    <row r="42" spans="1:7" ht="16.5" hidden="1">
      <c r="A42" s="37" t="s">
        <v>55</v>
      </c>
      <c r="B42" s="37"/>
      <c r="C42" s="37"/>
      <c r="D42" s="37"/>
      <c r="E42" s="37"/>
      <c r="F42" s="37"/>
      <c r="G42" s="30">
        <v>736.15</v>
      </c>
    </row>
    <row r="43" spans="1:7" ht="16.5" hidden="1">
      <c r="A43" s="37" t="s">
        <v>56</v>
      </c>
      <c r="B43" s="37"/>
      <c r="C43" s="37"/>
      <c r="D43" s="37"/>
      <c r="E43" s="37"/>
      <c r="F43" s="37"/>
      <c r="G43" s="30"/>
    </row>
    <row r="44" spans="1:7" ht="16.5" hidden="1">
      <c r="A44" s="37" t="s">
        <v>57</v>
      </c>
      <c r="B44" s="37"/>
      <c r="C44" s="37"/>
      <c r="D44" s="37"/>
      <c r="E44" s="37"/>
      <c r="F44" s="37"/>
      <c r="G44" s="30"/>
    </row>
    <row r="45" spans="1:7" ht="16.5">
      <c r="A45" s="37" t="s">
        <v>58</v>
      </c>
      <c r="B45" s="37"/>
      <c r="C45" s="37"/>
      <c r="D45" s="37"/>
      <c r="E45" s="37"/>
      <c r="F45" s="37"/>
      <c r="G45" s="30">
        <v>156077.25</v>
      </c>
    </row>
    <row r="46" spans="1:7" ht="16.5">
      <c r="A46" s="37" t="s">
        <v>59</v>
      </c>
      <c r="B46" s="37"/>
      <c r="C46" s="37"/>
      <c r="D46" s="37"/>
      <c r="E46" s="37"/>
      <c r="F46" s="37"/>
      <c r="G46" s="30">
        <f>2907.76+1682.79</f>
        <v>4590.55</v>
      </c>
    </row>
    <row r="47" spans="1:7" ht="16.5">
      <c r="A47" s="37" t="s">
        <v>60</v>
      </c>
      <c r="B47" s="37"/>
      <c r="C47" s="37"/>
      <c r="D47" s="37"/>
      <c r="E47" s="37"/>
      <c r="F47" s="37"/>
      <c r="G47" s="30">
        <f>701.5+42.08+42.08</f>
        <v>785.6600000000001</v>
      </c>
    </row>
    <row r="48" spans="1:7" ht="16.5">
      <c r="A48" s="37" t="s">
        <v>61</v>
      </c>
      <c r="B48" s="37"/>
      <c r="C48" s="37"/>
      <c r="D48" s="37"/>
      <c r="E48" s="37"/>
      <c r="F48" s="37"/>
      <c r="G48" s="30">
        <v>1373.61</v>
      </c>
    </row>
    <row r="49" spans="1:7" ht="16.5" hidden="1">
      <c r="A49" s="37" t="s">
        <v>62</v>
      </c>
      <c r="B49" s="37"/>
      <c r="C49" s="37"/>
      <c r="D49" s="37"/>
      <c r="E49" s="37"/>
      <c r="F49" s="37"/>
      <c r="G49" s="30"/>
    </row>
    <row r="50" spans="1:7" ht="16.5" hidden="1">
      <c r="A50" s="37" t="s">
        <v>63</v>
      </c>
      <c r="B50" s="37"/>
      <c r="C50" s="37"/>
      <c r="D50" s="37"/>
      <c r="E50" s="37"/>
      <c r="F50" s="37"/>
      <c r="G50" s="30"/>
    </row>
    <row r="51" spans="1:7" ht="16.5">
      <c r="A51" s="37" t="s">
        <v>64</v>
      </c>
      <c r="B51" s="37"/>
      <c r="C51" s="37"/>
      <c r="D51" s="37"/>
      <c r="E51" s="37"/>
      <c r="F51" s="37"/>
      <c r="G51" s="30"/>
    </row>
    <row r="52" spans="1:7" ht="16.5">
      <c r="A52" s="37" t="s">
        <v>65</v>
      </c>
      <c r="B52" s="37"/>
      <c r="C52" s="37"/>
      <c r="D52" s="37"/>
      <c r="E52" s="37"/>
      <c r="F52" s="37"/>
      <c r="G52" s="30">
        <v>12492.62</v>
      </c>
    </row>
    <row r="53" spans="1:7" ht="16.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6.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8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176055.83999999997</v>
      </c>
    </row>
    <row r="56" spans="1:7" ht="18.75" customHeight="1">
      <c r="A56" s="38" t="s">
        <v>69</v>
      </c>
      <c r="B56" s="38"/>
      <c r="C56" s="38"/>
      <c r="D56" s="38"/>
      <c r="E56" s="38"/>
      <c r="F56" s="38"/>
      <c r="G56" s="34">
        <f>G37+G55</f>
        <v>434635.0877031238</v>
      </c>
    </row>
    <row r="57" spans="1:7" ht="16.5">
      <c r="A57" s="29" t="s">
        <v>70</v>
      </c>
      <c r="B57" s="29"/>
      <c r="C57" s="29"/>
      <c r="D57" s="29"/>
      <c r="E57" s="29"/>
      <c r="F57" s="29"/>
      <c r="G57" s="30">
        <v>0</v>
      </c>
    </row>
    <row r="58" spans="1:7" ht="16.5" customHeight="1">
      <c r="A58" s="40" t="s">
        <v>71</v>
      </c>
      <c r="B58" s="40"/>
      <c r="C58" s="40"/>
      <c r="D58" s="40"/>
      <c r="E58" s="40"/>
      <c r="F58" s="40"/>
      <c r="G58" s="34">
        <f>B3*B4*4+B3*B5*2+B3*B6*5+B3*B7*1+G59</f>
        <v>309596.4</v>
      </c>
    </row>
    <row r="59" spans="1:7" ht="16.5">
      <c r="A59" s="41" t="s">
        <v>89</v>
      </c>
      <c r="B59" s="41"/>
      <c r="C59" s="41"/>
      <c r="D59" s="41"/>
      <c r="E59" s="41"/>
      <c r="F59" s="41"/>
      <c r="G59" s="34">
        <f>1*141.6*12</f>
        <v>1699.1999999999998</v>
      </c>
    </row>
    <row r="60" spans="1:7" ht="16.5">
      <c r="A60" s="42" t="s">
        <v>73</v>
      </c>
      <c r="B60" s="42"/>
      <c r="C60" s="42"/>
      <c r="D60" s="42"/>
      <c r="E60" s="42"/>
      <c r="F60" s="42"/>
      <c r="G60" s="47">
        <v>26635.77</v>
      </c>
    </row>
    <row r="61" spans="1:7" ht="48.75" customHeight="1">
      <c r="A61" s="44" t="s">
        <v>98</v>
      </c>
      <c r="B61" s="44"/>
      <c r="C61" s="44"/>
      <c r="D61" s="44"/>
      <c r="E61" s="44"/>
      <c r="F61" s="44"/>
      <c r="G61" s="48">
        <f>G56-G58+G60-G57</f>
        <v>151674.45770312377</v>
      </c>
    </row>
    <row r="62" ht="16.5">
      <c r="G62" s="49"/>
    </row>
    <row r="63" ht="16.5">
      <c r="G63" s="49"/>
    </row>
    <row r="64" ht="16.5">
      <c r="G64" s="49"/>
    </row>
    <row r="65" spans="1:7" ht="16.5">
      <c r="A65" s="1" t="s">
        <v>75</v>
      </c>
      <c r="G65" s="49"/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5118055555555555" right="0" top="0.4722222222222222" bottom="0" header="0.5118055555555555" footer="0.5118055555555555"/>
  <pageSetup horizontalDpi="300" verticalDpi="300" orientation="portrait" paperSize="9" scale="95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9"/>
  </sheetPr>
  <dimension ref="A1:IV65"/>
  <sheetViews>
    <sheetView zoomScale="75" zoomScaleNormal="75" workbookViewId="0" topLeftCell="A1">
      <selection activeCell="G21" sqref="G21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57421875" style="1" customWidth="1"/>
    <col min="7" max="7" width="14.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6.2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160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2676.5</v>
      </c>
      <c r="F3" s="8" t="s">
        <v>5</v>
      </c>
      <c r="G3" s="11">
        <v>4</v>
      </c>
    </row>
    <row r="4" spans="1:7" ht="18.75">
      <c r="A4" s="12" t="s">
        <v>6</v>
      </c>
      <c r="B4" s="46">
        <v>11.39</v>
      </c>
      <c r="C4" s="1" t="s">
        <v>93</v>
      </c>
      <c r="F4" s="8" t="s">
        <v>8</v>
      </c>
      <c r="G4" s="9">
        <v>1971</v>
      </c>
    </row>
    <row r="5" spans="1:7" ht="18.75">
      <c r="A5" s="12" t="s">
        <v>6</v>
      </c>
      <c r="B5" s="46">
        <v>11.54</v>
      </c>
      <c r="C5" s="1" t="s">
        <v>94</v>
      </c>
      <c r="F5" s="8"/>
      <c r="G5" s="9"/>
    </row>
    <row r="6" spans="1:3" ht="18.75">
      <c r="A6" s="12" t="s">
        <v>6</v>
      </c>
      <c r="B6" s="46">
        <v>11.59</v>
      </c>
      <c r="C6" s="1" t="s">
        <v>10</v>
      </c>
    </row>
    <row r="7" spans="1:256" ht="18.75">
      <c r="A7" s="12" t="s">
        <v>6</v>
      </c>
      <c r="B7" s="46">
        <v>12.14</v>
      </c>
      <c r="C7" s="1" t="s">
        <v>95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7" ht="18.75" hidden="1">
      <c r="A8" s="15" t="s">
        <v>12</v>
      </c>
      <c r="B8" s="16">
        <v>329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35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1250</v>
      </c>
      <c r="C11" s="18">
        <v>3217</v>
      </c>
      <c r="D11" s="18">
        <v>860</v>
      </c>
      <c r="E11" s="18">
        <v>3412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534.6</v>
      </c>
      <c r="C13" s="21">
        <v>535.2</v>
      </c>
      <c r="D13" s="21">
        <f>B13+C13</f>
        <v>1069.8000000000002</v>
      </c>
      <c r="E13" s="17"/>
      <c r="F13" s="17"/>
      <c r="G13" s="17"/>
    </row>
    <row r="14" spans="1:7" ht="48.75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60</v>
      </c>
      <c r="C15" s="25"/>
      <c r="D15" s="25">
        <v>60</v>
      </c>
      <c r="E15" s="26">
        <f>D15+C15+B15</f>
        <v>120</v>
      </c>
      <c r="F15" s="18"/>
      <c r="G15" s="17"/>
    </row>
    <row r="16" spans="1:7" ht="16.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6.5">
      <c r="A17" s="29" t="s">
        <v>30</v>
      </c>
      <c r="B17" s="29"/>
      <c r="C17" s="29"/>
      <c r="D17" s="29"/>
      <c r="E17" s="29"/>
      <c r="F17" s="29"/>
      <c r="G17" s="36">
        <f>B8*8.689*12</f>
        <v>34304.172</v>
      </c>
    </row>
    <row r="18" spans="1:7" ht="16.5" hidden="1">
      <c r="A18" s="29" t="s">
        <v>31</v>
      </c>
      <c r="B18" s="29"/>
      <c r="C18" s="29"/>
      <c r="D18" s="29"/>
      <c r="E18" s="29"/>
      <c r="F18" s="29"/>
      <c r="G18" s="36">
        <f>B9*19.029*12</f>
        <v>0</v>
      </c>
    </row>
    <row r="19" spans="1:7" ht="16.5" customHeight="1" hidden="1">
      <c r="A19" s="29" t="s">
        <v>85</v>
      </c>
      <c r="B19" s="29"/>
      <c r="C19" s="29"/>
      <c r="D19" s="29"/>
      <c r="E19" s="29"/>
      <c r="F19" s="29"/>
      <c r="G19" s="36">
        <f>B12*0.4522*12</f>
        <v>0</v>
      </c>
    </row>
    <row r="20" spans="1:7" ht="16.5">
      <c r="A20" s="29" t="s">
        <v>33</v>
      </c>
      <c r="B20" s="29"/>
      <c r="C20" s="29"/>
      <c r="D20" s="29"/>
      <c r="E20" s="29"/>
      <c r="F20" s="29"/>
      <c r="G20" s="36">
        <f>(B11*9.46/100*189)+(C11*7.09/100*113)+(D11*23.66/100*71)+(E11*1.77/100*12)</f>
        <v>63294.39370000001</v>
      </c>
    </row>
    <row r="21" spans="1:7" ht="18.75" customHeight="1">
      <c r="A21" s="31" t="s">
        <v>34</v>
      </c>
      <c r="B21" s="31"/>
      <c r="C21" s="31"/>
      <c r="D21" s="31"/>
      <c r="E21" s="31"/>
      <c r="F21" s="31"/>
      <c r="G21" s="65">
        <f>(717038*1.18+191100)/244019.8*B3</f>
        <v>11376.448772845482</v>
      </c>
    </row>
    <row r="22" spans="1:7" ht="16.5">
      <c r="A22" s="29" t="s">
        <v>35</v>
      </c>
      <c r="B22" s="29"/>
      <c r="C22" s="29"/>
      <c r="D22" s="29"/>
      <c r="E22" s="29"/>
      <c r="F22" s="29"/>
      <c r="G22" s="36">
        <f>D13*0.135*6</f>
        <v>866.5380000000002</v>
      </c>
    </row>
    <row r="23" spans="1:7" ht="16.5">
      <c r="A23" s="29" t="s">
        <v>36</v>
      </c>
      <c r="B23" s="29"/>
      <c r="C23" s="29"/>
      <c r="D23" s="29"/>
      <c r="E23" s="29"/>
      <c r="F23" s="29"/>
      <c r="G23" s="36">
        <f>114.94+3663.9+732.78+316.1+3965.51</f>
        <v>8793.23</v>
      </c>
    </row>
    <row r="24" spans="1:7" ht="16.5">
      <c r="A24" s="29" t="s">
        <v>37</v>
      </c>
      <c r="B24" s="29"/>
      <c r="C24" s="29"/>
      <c r="D24" s="29"/>
      <c r="E24" s="29"/>
      <c r="F24" s="29"/>
      <c r="G24" s="36">
        <f>B3*0.885*12</f>
        <v>28424.43</v>
      </c>
    </row>
    <row r="25" spans="1:7" ht="16.5" hidden="1">
      <c r="A25" s="29" t="s">
        <v>38</v>
      </c>
      <c r="B25" s="29"/>
      <c r="C25" s="29"/>
      <c r="D25" s="29"/>
      <c r="E25" s="29"/>
      <c r="F25" s="29"/>
      <c r="G25" s="36">
        <v>0</v>
      </c>
    </row>
    <row r="26" spans="1:7" ht="16.5" hidden="1">
      <c r="A26" s="29" t="s">
        <v>39</v>
      </c>
      <c r="B26" s="29"/>
      <c r="C26" s="29"/>
      <c r="D26" s="29"/>
      <c r="E26" s="29"/>
      <c r="F26" s="29"/>
      <c r="G26" s="36">
        <v>0</v>
      </c>
    </row>
    <row r="27" spans="1:7" ht="16.5" hidden="1">
      <c r="A27" s="29" t="s">
        <v>40</v>
      </c>
      <c r="B27" s="29"/>
      <c r="C27" s="29"/>
      <c r="D27" s="29"/>
      <c r="E27" s="29"/>
      <c r="F27" s="29"/>
      <c r="G27" s="36">
        <v>0</v>
      </c>
    </row>
    <row r="28" spans="1:7" ht="16.5">
      <c r="A28" s="29" t="s">
        <v>41</v>
      </c>
      <c r="B28" s="29"/>
      <c r="C28" s="29"/>
      <c r="D28" s="29"/>
      <c r="E28" s="29"/>
      <c r="F28" s="29"/>
      <c r="G28" s="36">
        <f>12*352+12*251.46</f>
        <v>7241.52</v>
      </c>
    </row>
    <row r="29" spans="1:7" ht="16.5" hidden="1">
      <c r="A29" s="29" t="s">
        <v>42</v>
      </c>
      <c r="B29" s="29"/>
      <c r="C29" s="29"/>
      <c r="D29" s="29"/>
      <c r="E29" s="29"/>
      <c r="F29" s="29"/>
      <c r="G29" s="36">
        <v>0</v>
      </c>
    </row>
    <row r="30" spans="1:7" ht="16.5" hidden="1">
      <c r="A30" s="29" t="s">
        <v>43</v>
      </c>
      <c r="B30" s="29"/>
      <c r="C30" s="29"/>
      <c r="D30" s="29"/>
      <c r="E30" s="29"/>
      <c r="F30" s="29"/>
      <c r="G30" s="36">
        <v>0</v>
      </c>
    </row>
    <row r="31" spans="1:7" ht="16.5" customHeight="1" hidden="1">
      <c r="A31" s="29" t="s">
        <v>44</v>
      </c>
      <c r="B31" s="29"/>
      <c r="C31" s="29"/>
      <c r="D31" s="29"/>
      <c r="E31" s="29"/>
      <c r="F31" s="29"/>
      <c r="G31" s="36">
        <v>0</v>
      </c>
    </row>
    <row r="32" spans="1:7" ht="16.5">
      <c r="A32" s="29" t="s">
        <v>45</v>
      </c>
      <c r="B32" s="29"/>
      <c r="C32" s="29"/>
      <c r="D32" s="29"/>
      <c r="E32" s="29"/>
      <c r="F32" s="29"/>
      <c r="G32" s="36">
        <f>B3*1.81*6+B3*1.86*6</f>
        <v>58936.53</v>
      </c>
    </row>
    <row r="33" spans="1:7" ht="18.75" customHeight="1">
      <c r="A33" s="31" t="s">
        <v>46</v>
      </c>
      <c r="B33" s="31"/>
      <c r="C33" s="31"/>
      <c r="D33" s="31"/>
      <c r="E33" s="31"/>
      <c r="F33" s="31"/>
      <c r="G33" s="36">
        <f>(F15*4*8.57)+(B15*2*3.14)+(C15*1*3.14)+(D15*1*3.14)</f>
        <v>565.2</v>
      </c>
    </row>
    <row r="34" spans="1:7" ht="16.5">
      <c r="A34" s="29" t="s">
        <v>47</v>
      </c>
      <c r="B34" s="29"/>
      <c r="C34" s="29"/>
      <c r="D34" s="29"/>
      <c r="E34" s="29"/>
      <c r="F34" s="29"/>
      <c r="G34" s="36">
        <f>B3*0.65*12</f>
        <v>20876.7</v>
      </c>
    </row>
    <row r="35" spans="1:7" ht="16.5">
      <c r="A35" s="29" t="s">
        <v>48</v>
      </c>
      <c r="B35" s="29"/>
      <c r="C35" s="29"/>
      <c r="D35" s="29"/>
      <c r="E35" s="29"/>
      <c r="F35" s="29"/>
      <c r="G35" s="36">
        <f>B3*0.82*12</f>
        <v>26336.760000000002</v>
      </c>
    </row>
    <row r="36" spans="1:7" ht="16.5" customHeight="1">
      <c r="A36" s="29" t="s">
        <v>49</v>
      </c>
      <c r="B36" s="29"/>
      <c r="C36" s="29"/>
      <c r="D36" s="29"/>
      <c r="E36" s="29"/>
      <c r="F36" s="29"/>
      <c r="G36" s="36">
        <f>B3*0.7*12</f>
        <v>22482.600000000002</v>
      </c>
    </row>
    <row r="37" spans="1:7" ht="16.5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283498.5224728455</v>
      </c>
    </row>
    <row r="38" spans="1:7" ht="18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6.5" hidden="1">
      <c r="A39" s="29" t="s">
        <v>52</v>
      </c>
      <c r="B39" s="29"/>
      <c r="C39" s="29"/>
      <c r="D39" s="29"/>
      <c r="E39" s="29"/>
      <c r="F39" s="29"/>
      <c r="G39" s="36">
        <f>B3*2.96*12</f>
        <v>95069.28</v>
      </c>
    </row>
    <row r="40" spans="1:7" ht="16.5">
      <c r="A40" s="29" t="s">
        <v>53</v>
      </c>
      <c r="B40" s="29"/>
      <c r="C40" s="29"/>
      <c r="D40" s="29"/>
      <c r="E40" s="29"/>
      <c r="F40" s="29"/>
      <c r="G40" s="36"/>
    </row>
    <row r="41" spans="1:7" ht="16.5">
      <c r="A41" s="37" t="s">
        <v>54</v>
      </c>
      <c r="B41" s="37"/>
      <c r="C41" s="37"/>
      <c r="D41" s="37"/>
      <c r="E41" s="37"/>
      <c r="F41" s="37"/>
      <c r="G41" s="36">
        <v>3148.46</v>
      </c>
    </row>
    <row r="42" spans="1:7" ht="16.5" hidden="1">
      <c r="A42" s="37" t="s">
        <v>55</v>
      </c>
      <c r="B42" s="37"/>
      <c r="C42" s="37"/>
      <c r="D42" s="37"/>
      <c r="E42" s="37"/>
      <c r="F42" s="37"/>
      <c r="G42" s="36"/>
    </row>
    <row r="43" spans="1:7" ht="16.5" hidden="1">
      <c r="A43" s="37" t="s">
        <v>56</v>
      </c>
      <c r="B43" s="37"/>
      <c r="C43" s="37"/>
      <c r="D43" s="37"/>
      <c r="E43" s="37"/>
      <c r="F43" s="37"/>
      <c r="G43" s="36"/>
    </row>
    <row r="44" spans="1:7" ht="16.5">
      <c r="A44" s="37" t="s">
        <v>57</v>
      </c>
      <c r="B44" s="37"/>
      <c r="C44" s="37"/>
      <c r="D44" s="37"/>
      <c r="E44" s="37"/>
      <c r="F44" s="37"/>
      <c r="G44" s="36">
        <v>22922.2</v>
      </c>
    </row>
    <row r="45" spans="1:7" ht="16.5" hidden="1">
      <c r="A45" s="37" t="s">
        <v>58</v>
      </c>
      <c r="B45" s="37"/>
      <c r="C45" s="37"/>
      <c r="D45" s="37"/>
      <c r="E45" s="37"/>
      <c r="F45" s="37"/>
      <c r="G45" s="36"/>
    </row>
    <row r="46" spans="1:7" ht="16.5" hidden="1">
      <c r="A46" s="37" t="s">
        <v>59</v>
      </c>
      <c r="B46" s="37"/>
      <c r="C46" s="37"/>
      <c r="D46" s="37"/>
      <c r="E46" s="37"/>
      <c r="F46" s="37"/>
      <c r="G46" s="36"/>
    </row>
    <row r="47" spans="1:7" ht="16.5">
      <c r="A47" s="37" t="s">
        <v>60</v>
      </c>
      <c r="B47" s="37"/>
      <c r="C47" s="37"/>
      <c r="D47" s="37"/>
      <c r="E47" s="37"/>
      <c r="F47" s="37"/>
      <c r="G47" s="36">
        <f>737.78+42.09+42.08+1449.1</f>
        <v>2271.05</v>
      </c>
    </row>
    <row r="48" spans="1:7" ht="16.5">
      <c r="A48" s="37" t="s">
        <v>61</v>
      </c>
      <c r="B48" s="37"/>
      <c r="C48" s="37"/>
      <c r="D48" s="37"/>
      <c r="E48" s="37"/>
      <c r="F48" s="37"/>
      <c r="G48" s="36">
        <f>878.25+1696.3+1638.22+18270.4+17640.39+1968.24+7980.17+3780.08+2730.06</f>
        <v>56582.10999999999</v>
      </c>
    </row>
    <row r="49" spans="1:7" ht="16.5">
      <c r="A49" s="37" t="s">
        <v>62</v>
      </c>
      <c r="B49" s="37"/>
      <c r="C49" s="37"/>
      <c r="D49" s="37"/>
      <c r="E49" s="37"/>
      <c r="F49" s="37"/>
      <c r="G49" s="36">
        <f>2128.63+10508.69</f>
        <v>12637.32</v>
      </c>
    </row>
    <row r="50" spans="1:7" ht="16.5" hidden="1">
      <c r="A50" s="37" t="s">
        <v>63</v>
      </c>
      <c r="B50" s="37"/>
      <c r="C50" s="37"/>
      <c r="D50" s="37"/>
      <c r="E50" s="37"/>
      <c r="F50" s="37"/>
      <c r="G50" s="36"/>
    </row>
    <row r="51" spans="1:7" ht="16.5" hidden="1">
      <c r="A51" s="37" t="s">
        <v>64</v>
      </c>
      <c r="B51" s="37"/>
      <c r="C51" s="37"/>
      <c r="D51" s="37"/>
      <c r="E51" s="37"/>
      <c r="F51" s="37"/>
      <c r="G51" s="36"/>
    </row>
    <row r="52" spans="1:7" ht="16.5">
      <c r="A52" s="37" t="s">
        <v>65</v>
      </c>
      <c r="B52" s="37"/>
      <c r="C52" s="37"/>
      <c r="D52" s="37"/>
      <c r="E52" s="37"/>
      <c r="F52" s="37"/>
      <c r="G52" s="36">
        <v>37327.68</v>
      </c>
    </row>
    <row r="53" spans="1:7" ht="16.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6.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8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134888.81999999998</v>
      </c>
    </row>
    <row r="56" spans="1:7" ht="18.75" customHeight="1">
      <c r="A56" s="38" t="s">
        <v>69</v>
      </c>
      <c r="B56" s="38"/>
      <c r="C56" s="38"/>
      <c r="D56" s="38"/>
      <c r="E56" s="38"/>
      <c r="F56" s="38"/>
      <c r="G56" s="39">
        <f>G37+G55</f>
        <v>418387.34247284546</v>
      </c>
    </row>
    <row r="57" spans="1:7" ht="16.5">
      <c r="A57" s="29" t="s">
        <v>70</v>
      </c>
      <c r="B57" s="29"/>
      <c r="C57" s="29"/>
      <c r="D57" s="29"/>
      <c r="E57" s="29"/>
      <c r="F57" s="29"/>
      <c r="G57" s="36">
        <v>-358.6</v>
      </c>
    </row>
    <row r="58" spans="1:7" ht="16.5" customHeight="1">
      <c r="A58" s="40" t="s">
        <v>147</v>
      </c>
      <c r="B58" s="40"/>
      <c r="C58" s="40"/>
      <c r="D58" s="40"/>
      <c r="E58" s="40"/>
      <c r="F58" s="40"/>
      <c r="G58" s="66">
        <f>B3*B4*4+B3*B5*2+B3*B6*5+B3*B7*1+G59</f>
        <v>378398.04500000004</v>
      </c>
    </row>
    <row r="59" spans="1:7" ht="16.5">
      <c r="A59" s="41" t="s">
        <v>144</v>
      </c>
      <c r="B59" s="41"/>
      <c r="C59" s="41"/>
      <c r="D59" s="41"/>
      <c r="E59" s="41"/>
      <c r="F59" s="41"/>
      <c r="G59" s="36">
        <f>1*141.6*12+1*180*12+1*269*12</f>
        <v>7087.2</v>
      </c>
    </row>
    <row r="60" spans="1:7" ht="16.5">
      <c r="A60" s="42" t="s">
        <v>73</v>
      </c>
      <c r="B60" s="42"/>
      <c r="C60" s="42"/>
      <c r="D60" s="42"/>
      <c r="E60" s="42"/>
      <c r="F60" s="42"/>
      <c r="G60" s="43">
        <v>31313.66</v>
      </c>
    </row>
    <row r="61" spans="1:7" ht="48.75" customHeight="1">
      <c r="A61" s="44" t="s">
        <v>90</v>
      </c>
      <c r="B61" s="44"/>
      <c r="C61" s="44"/>
      <c r="D61" s="44"/>
      <c r="E61" s="44"/>
      <c r="F61" s="44"/>
      <c r="G61" s="45">
        <f>G56-G58+G60-G57</f>
        <v>71661.55747284542</v>
      </c>
    </row>
    <row r="62" ht="16.5"/>
    <row r="63" ht="16.5"/>
    <row r="64" ht="16.5"/>
    <row r="65" ht="16.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.39166666666666666" bottom="0" header="0.5118055555555555" footer="0.5118055555555555"/>
  <pageSetup horizontalDpi="300" verticalDpi="300" orientation="portrait" paperSize="9" scale="95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9"/>
  </sheetPr>
  <dimension ref="A1:G65"/>
  <sheetViews>
    <sheetView zoomScale="75" zoomScaleNormal="75" workbookViewId="0" topLeftCell="A1">
      <selection activeCell="G21" sqref="G21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4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161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2709.5</v>
      </c>
      <c r="F3" s="8" t="s">
        <v>5</v>
      </c>
      <c r="G3" s="11">
        <v>4</v>
      </c>
    </row>
    <row r="4" spans="1:7" ht="18.75">
      <c r="A4" s="12" t="s">
        <v>6</v>
      </c>
      <c r="B4" s="46">
        <v>11.39</v>
      </c>
      <c r="C4" s="1" t="s">
        <v>93</v>
      </c>
      <c r="F4" s="8" t="s">
        <v>8</v>
      </c>
      <c r="G4" s="9">
        <v>1972</v>
      </c>
    </row>
    <row r="5" spans="1:7" ht="18.75">
      <c r="A5" s="12" t="s">
        <v>6</v>
      </c>
      <c r="B5" s="46">
        <v>11.54</v>
      </c>
      <c r="C5" s="1" t="s">
        <v>94</v>
      </c>
      <c r="F5" s="8"/>
      <c r="G5" s="9"/>
    </row>
    <row r="6" spans="1:7" ht="18.75">
      <c r="A6" s="12" t="s">
        <v>6</v>
      </c>
      <c r="B6" s="46">
        <v>11.59</v>
      </c>
      <c r="C6" s="1" t="s">
        <v>10</v>
      </c>
      <c r="F6" s="8"/>
      <c r="G6" s="9"/>
    </row>
    <row r="7" spans="1:3" ht="18.75">
      <c r="A7" s="12" t="s">
        <v>6</v>
      </c>
      <c r="B7" s="46">
        <v>12.14</v>
      </c>
      <c r="C7" s="1" t="s">
        <v>95</v>
      </c>
    </row>
    <row r="8" spans="1:7" ht="18.75" hidden="1">
      <c r="A8" s="15" t="s">
        <v>12</v>
      </c>
      <c r="B8" s="16">
        <v>277.8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640</v>
      </c>
      <c r="C11" s="18">
        <v>3442</v>
      </c>
      <c r="D11" s="18">
        <v>640</v>
      </c>
      <c r="E11" s="18">
        <v>3442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542.4</v>
      </c>
      <c r="C13" s="21">
        <v>541.9</v>
      </c>
      <c r="D13" s="21">
        <f>B13+C13</f>
        <v>1084.3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60</v>
      </c>
      <c r="C15" s="25">
        <v>0</v>
      </c>
      <c r="D15" s="25">
        <v>60</v>
      </c>
      <c r="E15" s="26">
        <f>D15+C15+B15</f>
        <v>120</v>
      </c>
      <c r="F15" s="18">
        <v>0</v>
      </c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6">
        <f>B8*8.689*12</f>
        <v>28965.6504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6">
        <f>B9*19.029*12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6">
        <f>B12*0.4522*12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6">
        <f>(B11*12.84/100*189)+(C11*9.63/100*113)+(D11*32.11/100*71)+(E11*2.41/100*12)</f>
        <v>68572.97420000001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19094.111007909196</v>
      </c>
    </row>
    <row r="22" spans="1:7" ht="15.75">
      <c r="A22" s="29" t="s">
        <v>35</v>
      </c>
      <c r="B22" s="29"/>
      <c r="C22" s="29"/>
      <c r="D22" s="29"/>
      <c r="E22" s="29"/>
      <c r="F22" s="29"/>
      <c r="G22" s="36">
        <f>D13*0.135*6+678</f>
        <v>1556.2830000000001</v>
      </c>
    </row>
    <row r="23" spans="1:7" ht="15.75">
      <c r="A23" s="29" t="s">
        <v>36</v>
      </c>
      <c r="B23" s="29"/>
      <c r="C23" s="29"/>
      <c r="D23" s="29"/>
      <c r="E23" s="29"/>
      <c r="F23" s="29"/>
      <c r="G23" s="36">
        <f>114.94+3663.9+732.78+316.1+3965.51</f>
        <v>8793.23</v>
      </c>
    </row>
    <row r="24" spans="1:7" ht="15.75">
      <c r="A24" s="29" t="s">
        <v>37</v>
      </c>
      <c r="B24" s="29"/>
      <c r="C24" s="29"/>
      <c r="D24" s="29"/>
      <c r="E24" s="29"/>
      <c r="F24" s="29"/>
      <c r="G24" s="36">
        <f>B3*0.885*12</f>
        <v>28774.89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6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6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6">
        <v>0</v>
      </c>
    </row>
    <row r="28" spans="1:7" ht="15.75">
      <c r="A28" s="29" t="s">
        <v>41</v>
      </c>
      <c r="B28" s="29"/>
      <c r="C28" s="29"/>
      <c r="D28" s="29"/>
      <c r="E28" s="29"/>
      <c r="F28" s="29"/>
      <c r="G28" s="36">
        <v>7511.08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6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6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6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6">
        <f>B3*1.81*6+B3*1.86*6</f>
        <v>59663.19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6">
        <f>(F15*4*8.57)+(B15*2*3.14)+(C15*1*3.14)+(D15*1*3.14)</f>
        <v>565.2</v>
      </c>
    </row>
    <row r="34" spans="1:7" ht="15.75">
      <c r="A34" s="29" t="s">
        <v>47</v>
      </c>
      <c r="B34" s="29"/>
      <c r="C34" s="29"/>
      <c r="D34" s="29"/>
      <c r="E34" s="29"/>
      <c r="F34" s="29"/>
      <c r="G34" s="36">
        <f>B3*0.65*12</f>
        <v>21134.1</v>
      </c>
    </row>
    <row r="35" spans="1:7" ht="15.75">
      <c r="A35" s="29" t="s">
        <v>48</v>
      </c>
      <c r="B35" s="29"/>
      <c r="C35" s="29"/>
      <c r="D35" s="29"/>
      <c r="E35" s="29"/>
      <c r="F35" s="29"/>
      <c r="G35" s="36">
        <f>B3*0.82*12</f>
        <v>26661.48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6">
        <f>B3*0.9*12</f>
        <v>29262.600000000002</v>
      </c>
    </row>
    <row r="37" spans="1:7" ht="15.75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300554.78860790917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5.75" hidden="1">
      <c r="A39" s="29" t="s">
        <v>52</v>
      </c>
      <c r="B39" s="29"/>
      <c r="C39" s="29"/>
      <c r="D39" s="29"/>
      <c r="E39" s="29"/>
      <c r="F39" s="29"/>
      <c r="G39" s="36">
        <f>B3*2.96*12</f>
        <v>96241.44</v>
      </c>
    </row>
    <row r="40" spans="1:7" ht="15.75">
      <c r="A40" s="29" t="s">
        <v>53</v>
      </c>
      <c r="B40" s="29"/>
      <c r="C40" s="29"/>
      <c r="D40" s="29"/>
      <c r="E40" s="29"/>
      <c r="F40" s="29"/>
      <c r="G40" s="36"/>
    </row>
    <row r="41" spans="1:7" ht="16.5">
      <c r="A41" s="37" t="s">
        <v>54</v>
      </c>
      <c r="B41" s="37"/>
      <c r="C41" s="37"/>
      <c r="D41" s="37"/>
      <c r="E41" s="37"/>
      <c r="F41" s="37"/>
      <c r="G41" s="36">
        <f>2313.91+2038.39</f>
        <v>4352.3</v>
      </c>
    </row>
    <row r="42" spans="1:7" ht="17.25">
      <c r="A42" s="37" t="s">
        <v>55</v>
      </c>
      <c r="B42" s="37"/>
      <c r="C42" s="37"/>
      <c r="D42" s="37"/>
      <c r="E42" s="37"/>
      <c r="F42" s="37"/>
      <c r="G42" s="36">
        <v>2000.43</v>
      </c>
    </row>
    <row r="43" spans="1:7" ht="17.25" hidden="1">
      <c r="A43" s="37" t="s">
        <v>56</v>
      </c>
      <c r="B43" s="37"/>
      <c r="C43" s="37"/>
      <c r="D43" s="37"/>
      <c r="E43" s="37"/>
      <c r="F43" s="37"/>
      <c r="G43" s="36"/>
    </row>
    <row r="44" spans="1:7" ht="17.25" hidden="1">
      <c r="A44" s="37" t="s">
        <v>57</v>
      </c>
      <c r="B44" s="37"/>
      <c r="C44" s="37"/>
      <c r="D44" s="37"/>
      <c r="E44" s="37"/>
      <c r="F44" s="37"/>
      <c r="G44" s="36"/>
    </row>
    <row r="45" spans="1:7" ht="17.25" hidden="1">
      <c r="A45" s="37" t="s">
        <v>58</v>
      </c>
      <c r="B45" s="37"/>
      <c r="C45" s="37"/>
      <c r="D45" s="37"/>
      <c r="E45" s="37"/>
      <c r="F45" s="37"/>
      <c r="G45" s="36"/>
    </row>
    <row r="46" spans="1:7" ht="17.25">
      <c r="A46" s="37" t="s">
        <v>59</v>
      </c>
      <c r="B46" s="37"/>
      <c r="C46" s="37"/>
      <c r="D46" s="37"/>
      <c r="E46" s="37"/>
      <c r="F46" s="37"/>
      <c r="G46" s="36">
        <f>1916.1+1682.79</f>
        <v>3598.89</v>
      </c>
    </row>
    <row r="47" spans="1:7" ht="17.25">
      <c r="A47" s="37" t="s">
        <v>60</v>
      </c>
      <c r="B47" s="37"/>
      <c r="C47" s="37"/>
      <c r="D47" s="37"/>
      <c r="E47" s="37"/>
      <c r="F47" s="37"/>
      <c r="G47" s="36">
        <f>694.19+42.08+42.08+42.08+2279.69</f>
        <v>3100.1200000000003</v>
      </c>
    </row>
    <row r="48" spans="1:7" ht="17.25">
      <c r="A48" s="37" t="s">
        <v>61</v>
      </c>
      <c r="B48" s="37"/>
      <c r="C48" s="37"/>
      <c r="D48" s="37"/>
      <c r="E48" s="37"/>
      <c r="F48" s="37"/>
      <c r="G48" s="36">
        <f>1913.8+2520.06+13440.29</f>
        <v>17874.15</v>
      </c>
    </row>
    <row r="49" spans="1:7" ht="17.25">
      <c r="A49" s="37" t="s">
        <v>62</v>
      </c>
      <c r="B49" s="37"/>
      <c r="C49" s="37"/>
      <c r="D49" s="37"/>
      <c r="E49" s="37"/>
      <c r="F49" s="37"/>
      <c r="G49" s="36">
        <v>5473.39</v>
      </c>
    </row>
    <row r="50" spans="1:7" ht="17.25" hidden="1">
      <c r="A50" s="37" t="s">
        <v>63</v>
      </c>
      <c r="B50" s="37"/>
      <c r="C50" s="37"/>
      <c r="D50" s="37"/>
      <c r="E50" s="37"/>
      <c r="F50" s="37"/>
      <c r="G50" s="36"/>
    </row>
    <row r="51" spans="1:7" ht="17.25" hidden="1">
      <c r="A51" s="37" t="s">
        <v>64</v>
      </c>
      <c r="B51" s="37"/>
      <c r="C51" s="37"/>
      <c r="D51" s="37"/>
      <c r="E51" s="37"/>
      <c r="F51" s="37"/>
      <c r="G51" s="36"/>
    </row>
    <row r="52" spans="1:7" ht="17.25">
      <c r="A52" s="37" t="s">
        <v>65</v>
      </c>
      <c r="B52" s="37"/>
      <c r="C52" s="37"/>
      <c r="D52" s="37"/>
      <c r="E52" s="37"/>
      <c r="F52" s="37"/>
      <c r="G52" s="36">
        <v>26320.8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62720.08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363274.8686079092</v>
      </c>
    </row>
    <row r="57" spans="1:7" ht="15.75">
      <c r="A57" s="29" t="s">
        <v>70</v>
      </c>
      <c r="B57" s="29"/>
      <c r="C57" s="29"/>
      <c r="D57" s="29"/>
      <c r="E57" s="29"/>
      <c r="F57" s="29"/>
      <c r="G57" s="36">
        <f>-585.63-484.1-1639.85</f>
        <v>-2709.58</v>
      </c>
    </row>
    <row r="58" spans="1:7" ht="15.75" customHeight="1">
      <c r="A58" s="40" t="s">
        <v>147</v>
      </c>
      <c r="B58" s="40"/>
      <c r="C58" s="40"/>
      <c r="D58" s="40"/>
      <c r="E58" s="40"/>
      <c r="F58" s="40"/>
      <c r="G58" s="39">
        <f>B3*B4*4+B3*B5*2+B3*B6*5+B3*B7*1+G59</f>
        <v>385323.335</v>
      </c>
    </row>
    <row r="59" spans="1:7" ht="15.75">
      <c r="A59" s="41" t="s">
        <v>144</v>
      </c>
      <c r="B59" s="41"/>
      <c r="C59" s="41"/>
      <c r="D59" s="41"/>
      <c r="E59" s="41"/>
      <c r="F59" s="41"/>
      <c r="G59" s="36">
        <f>160*1*12+141.6*1*12+215.6*1*12+269*1*12</f>
        <v>9434.4</v>
      </c>
    </row>
    <row r="60" spans="1:7" ht="15.75" customHeight="1">
      <c r="A60" s="42" t="s">
        <v>73</v>
      </c>
      <c r="B60" s="42"/>
      <c r="C60" s="42"/>
      <c r="D60" s="42"/>
      <c r="E60" s="42"/>
      <c r="F60" s="42"/>
      <c r="G60" s="43">
        <v>34843.55</v>
      </c>
    </row>
    <row r="61" spans="1:7" ht="57.75" customHeight="1">
      <c r="A61" s="44" t="s">
        <v>90</v>
      </c>
      <c r="B61" s="44"/>
      <c r="C61" s="44"/>
      <c r="D61" s="44"/>
      <c r="E61" s="44"/>
      <c r="F61" s="44"/>
      <c r="G61" s="45">
        <f>G56-G58+G60-G57</f>
        <v>15504.663607909168</v>
      </c>
    </row>
    <row r="65" ht="15.7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5"/>
  </sheetPr>
  <dimension ref="A1:G65"/>
  <sheetViews>
    <sheetView zoomScale="75" zoomScaleNormal="75" workbookViewId="0" topLeftCell="A4">
      <selection activeCell="G23" sqref="G23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0039062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44.2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162</v>
      </c>
      <c r="C2" s="7"/>
      <c r="D2" s="7"/>
      <c r="E2" s="7"/>
      <c r="F2" s="8" t="s">
        <v>3</v>
      </c>
      <c r="G2" s="9">
        <v>9</v>
      </c>
    </row>
    <row r="3" spans="1:7" ht="18.75">
      <c r="A3" s="6" t="s">
        <v>4</v>
      </c>
      <c r="B3" s="10">
        <v>7717.8</v>
      </c>
      <c r="F3" s="8" t="s">
        <v>5</v>
      </c>
      <c r="G3" s="11">
        <v>4</v>
      </c>
    </row>
    <row r="4" spans="1:7" ht="18.75">
      <c r="A4" s="12" t="s">
        <v>6</v>
      </c>
      <c r="B4" s="46">
        <v>12.21</v>
      </c>
      <c r="C4" s="1" t="s">
        <v>93</v>
      </c>
      <c r="F4" s="8" t="s">
        <v>8</v>
      </c>
      <c r="G4" s="9">
        <v>1977</v>
      </c>
    </row>
    <row r="5" spans="1:7" ht="18.75">
      <c r="A5" s="12" t="s">
        <v>6</v>
      </c>
      <c r="B5" s="46">
        <v>12.36</v>
      </c>
      <c r="C5" s="1" t="s">
        <v>94</v>
      </c>
      <c r="F5" s="8"/>
      <c r="G5" s="9"/>
    </row>
    <row r="6" spans="1:7" ht="18.75">
      <c r="A6" s="12" t="s">
        <v>6</v>
      </c>
      <c r="B6" s="46">
        <v>12.41</v>
      </c>
      <c r="C6" s="1" t="s">
        <v>10</v>
      </c>
      <c r="F6" s="8"/>
      <c r="G6" s="9"/>
    </row>
    <row r="7" spans="1:3" ht="18.75">
      <c r="A7" s="12" t="s">
        <v>6</v>
      </c>
      <c r="B7" s="46">
        <v>12.81</v>
      </c>
      <c r="C7" s="1" t="s">
        <v>95</v>
      </c>
    </row>
    <row r="8" spans="1:7" ht="18.75" hidden="1">
      <c r="A8" s="15" t="s">
        <v>12</v>
      </c>
      <c r="B8" s="16">
        <v>865.5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4</v>
      </c>
      <c r="C9" s="17" t="s">
        <v>136</v>
      </c>
      <c r="D9" s="17">
        <v>4</v>
      </c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1760</v>
      </c>
      <c r="C11" s="18">
        <v>2920</v>
      </c>
      <c r="D11" s="18">
        <v>1360</v>
      </c>
      <c r="E11" s="18">
        <v>2960</v>
      </c>
      <c r="F11" s="17"/>
      <c r="G11" s="17"/>
    </row>
    <row r="12" spans="1:7" ht="18.75" hidden="1">
      <c r="A12" s="15" t="s">
        <v>19</v>
      </c>
      <c r="B12" s="21">
        <v>0</v>
      </c>
      <c r="C12" s="17" t="s">
        <v>163</v>
      </c>
      <c r="D12" s="17"/>
      <c r="E12" s="17"/>
      <c r="F12" s="17"/>
      <c r="G12" s="17"/>
    </row>
    <row r="13" spans="1:7" ht="18.75" hidden="1">
      <c r="A13" s="15" t="s">
        <v>21</v>
      </c>
      <c r="B13" s="21">
        <v>925.4</v>
      </c>
      <c r="C13" s="21">
        <v>856.1</v>
      </c>
      <c r="D13" s="21">
        <f>B13+C13</f>
        <v>1781.5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144</v>
      </c>
      <c r="C15" s="25">
        <v>0</v>
      </c>
      <c r="D15" s="25">
        <v>144</v>
      </c>
      <c r="E15" s="26">
        <f>D15+C15+B15</f>
        <v>288</v>
      </c>
      <c r="F15" s="18">
        <v>0</v>
      </c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6">
        <f>B8*7.012*12</f>
        <v>72826.632</v>
      </c>
    </row>
    <row r="18" spans="1:7" ht="15.75">
      <c r="A18" s="29" t="s">
        <v>31</v>
      </c>
      <c r="B18" s="29"/>
      <c r="C18" s="29"/>
      <c r="D18" s="29"/>
      <c r="E18" s="29"/>
      <c r="F18" s="29"/>
      <c r="G18" s="36">
        <f>B9*35.705*12</f>
        <v>1713.84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6">
        <f>B12*0.3613*12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6">
        <f>(B11*9.46/100*189)+(C11*7.09/100*113)+(D11*23.66/100*71)+(E11*1.77/100*12)</f>
        <v>78336.708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54388.09003020542</v>
      </c>
    </row>
    <row r="22" spans="1:7" ht="15.75">
      <c r="A22" s="29" t="s">
        <v>35</v>
      </c>
      <c r="B22" s="29"/>
      <c r="C22" s="29"/>
      <c r="D22" s="29"/>
      <c r="E22" s="29"/>
      <c r="F22" s="29"/>
      <c r="G22" s="36">
        <f>D13*0.135*6+925.4</f>
        <v>2368.415</v>
      </c>
    </row>
    <row r="23" spans="1:7" ht="15.75">
      <c r="A23" s="29" t="s">
        <v>36</v>
      </c>
      <c r="B23" s="29"/>
      <c r="C23" s="29"/>
      <c r="D23" s="29"/>
      <c r="E23" s="29"/>
      <c r="F23" s="29"/>
      <c r="G23" s="36">
        <f>114.94+8793.36+1264.39+431.03+7241.42</f>
        <v>17845.14</v>
      </c>
    </row>
    <row r="24" spans="1:7" ht="15.75">
      <c r="A24" s="29" t="s">
        <v>37</v>
      </c>
      <c r="B24" s="29"/>
      <c r="C24" s="29"/>
      <c r="D24" s="29"/>
      <c r="E24" s="29"/>
      <c r="F24" s="29"/>
      <c r="G24" s="36">
        <f>B3*0.885*12</f>
        <v>81963.03600000001</v>
      </c>
    </row>
    <row r="25" spans="1:7" ht="15.75">
      <c r="A25" s="29" t="s">
        <v>87</v>
      </c>
      <c r="B25" s="29"/>
      <c r="C25" s="29"/>
      <c r="D25" s="29"/>
      <c r="E25" s="29"/>
      <c r="F25" s="29"/>
      <c r="G25" s="36">
        <f>B3*2.648*4+B3*2.245*8</f>
        <v>220358.62560000003</v>
      </c>
    </row>
    <row r="26" spans="1:7" ht="15.75">
      <c r="A26" s="29" t="s">
        <v>39</v>
      </c>
      <c r="B26" s="29"/>
      <c r="C26" s="29"/>
      <c r="D26" s="29"/>
      <c r="E26" s="29"/>
      <c r="F26" s="29"/>
      <c r="G26" s="36">
        <f>4*9990</f>
        <v>39960</v>
      </c>
    </row>
    <row r="27" spans="1:7" ht="15.75">
      <c r="A27" s="29" t="s">
        <v>40</v>
      </c>
      <c r="B27" s="29"/>
      <c r="C27" s="29"/>
      <c r="D27" s="29"/>
      <c r="E27" s="29"/>
      <c r="F27" s="29"/>
      <c r="G27" s="36">
        <f>1209*4</f>
        <v>4836</v>
      </c>
    </row>
    <row r="28" spans="1:7" ht="15.75">
      <c r="A28" s="29" t="s">
        <v>41</v>
      </c>
      <c r="B28" s="29"/>
      <c r="C28" s="29"/>
      <c r="D28" s="29"/>
      <c r="E28" s="29"/>
      <c r="F28" s="29"/>
      <c r="G28" s="36">
        <v>21261.32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6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6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6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6">
        <f>B3*1.81*6+B3*1.86*6</f>
        <v>169945.956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6">
        <f>(F15*4*8.57)+(B15*2*3.14)+(C15*1*3.14)+(D15*1*3.14)</f>
        <v>1356.48</v>
      </c>
    </row>
    <row r="34" spans="1:7" ht="15.75">
      <c r="A34" s="29" t="s">
        <v>47</v>
      </c>
      <c r="B34" s="29"/>
      <c r="C34" s="29"/>
      <c r="D34" s="29"/>
      <c r="E34" s="29"/>
      <c r="F34" s="29"/>
      <c r="G34" s="36">
        <f>B3*0.65*12</f>
        <v>60198.84000000001</v>
      </c>
    </row>
    <row r="35" spans="1:7" ht="15.75">
      <c r="A35" s="29" t="s">
        <v>48</v>
      </c>
      <c r="B35" s="29"/>
      <c r="C35" s="29"/>
      <c r="D35" s="29"/>
      <c r="E35" s="29"/>
      <c r="F35" s="29"/>
      <c r="G35" s="36">
        <f>B3*0.82*12</f>
        <v>75943.152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6">
        <f>B3*0.9*12</f>
        <v>83352.24</v>
      </c>
    </row>
    <row r="37" spans="1:7" ht="15.75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986654.4746302054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5.75" hidden="1">
      <c r="A39" s="29" t="s">
        <v>52</v>
      </c>
      <c r="B39" s="29"/>
      <c r="C39" s="29"/>
      <c r="D39" s="29"/>
      <c r="E39" s="29"/>
      <c r="F39" s="29"/>
      <c r="G39" s="36">
        <f>B3*2.96*12</f>
        <v>274136.25600000005</v>
      </c>
    </row>
    <row r="40" spans="1:7" ht="15.75">
      <c r="A40" s="29" t="s">
        <v>53</v>
      </c>
      <c r="B40" s="29"/>
      <c r="C40" s="29"/>
      <c r="D40" s="29"/>
      <c r="E40" s="29"/>
      <c r="F40" s="29"/>
      <c r="G40" s="36"/>
    </row>
    <row r="41" spans="1:7" ht="16.5">
      <c r="A41" s="37" t="s">
        <v>54</v>
      </c>
      <c r="B41" s="37"/>
      <c r="C41" s="37"/>
      <c r="D41" s="37"/>
      <c r="E41" s="37"/>
      <c r="F41" s="37"/>
      <c r="G41" s="36">
        <f>2148.01+1357.15+4041.76+4048.39</f>
        <v>11595.31</v>
      </c>
    </row>
    <row r="42" spans="1:7" ht="17.25">
      <c r="A42" s="37" t="s">
        <v>55</v>
      </c>
      <c r="B42" s="37"/>
      <c r="C42" s="37"/>
      <c r="D42" s="37"/>
      <c r="E42" s="37"/>
      <c r="F42" s="37"/>
      <c r="G42" s="36"/>
    </row>
    <row r="43" spans="1:7" ht="17.25">
      <c r="A43" s="37" t="s">
        <v>56</v>
      </c>
      <c r="B43" s="37"/>
      <c r="C43" s="37"/>
      <c r="D43" s="37"/>
      <c r="E43" s="37"/>
      <c r="F43" s="37"/>
      <c r="G43" s="36">
        <f>18380.25+6576.02</f>
        <v>24956.27</v>
      </c>
    </row>
    <row r="44" spans="1:7" ht="17.25" hidden="1">
      <c r="A44" s="37" t="s">
        <v>57</v>
      </c>
      <c r="B44" s="37"/>
      <c r="C44" s="37"/>
      <c r="D44" s="37"/>
      <c r="E44" s="37"/>
      <c r="F44" s="37"/>
      <c r="G44" s="36"/>
    </row>
    <row r="45" spans="1:7" ht="17.25" hidden="1">
      <c r="A45" s="37" t="s">
        <v>58</v>
      </c>
      <c r="B45" s="37"/>
      <c r="C45" s="37"/>
      <c r="D45" s="37"/>
      <c r="E45" s="37"/>
      <c r="F45" s="37"/>
      <c r="G45" s="36"/>
    </row>
    <row r="46" spans="1:7" ht="16.5">
      <c r="A46" s="37" t="s">
        <v>59</v>
      </c>
      <c r="B46" s="37"/>
      <c r="C46" s="37"/>
      <c r="D46" s="37"/>
      <c r="E46" s="37"/>
      <c r="F46" s="37"/>
      <c r="G46" s="36">
        <f>233.31+208.87</f>
        <v>442.18</v>
      </c>
    </row>
    <row r="47" spans="1:7" ht="17.25">
      <c r="A47" s="37" t="s">
        <v>60</v>
      </c>
      <c r="B47" s="37"/>
      <c r="C47" s="37"/>
      <c r="D47" s="37"/>
      <c r="E47" s="37"/>
      <c r="F47" s="37"/>
      <c r="G47" s="36">
        <f>42.08+1669.29+42.08+2935.82</f>
        <v>4689.27</v>
      </c>
    </row>
    <row r="48" spans="1:7" ht="16.5">
      <c r="A48" s="37" t="s">
        <v>61</v>
      </c>
      <c r="B48" s="37"/>
      <c r="C48" s="37"/>
      <c r="D48" s="37"/>
      <c r="E48" s="37"/>
      <c r="F48" s="37"/>
      <c r="G48" s="36">
        <f>3567.67+266.22+1695.49+650.09+1118.46+2520.06+10290.23+13440.29+2520.06+2520.06</f>
        <v>38588.63</v>
      </c>
    </row>
    <row r="49" spans="1:7" ht="17.25" hidden="1">
      <c r="A49" s="37" t="s">
        <v>62</v>
      </c>
      <c r="B49" s="37"/>
      <c r="C49" s="37"/>
      <c r="D49" s="37"/>
      <c r="E49" s="37"/>
      <c r="F49" s="37"/>
      <c r="G49" s="36"/>
    </row>
    <row r="50" spans="1:7" ht="17.25" hidden="1">
      <c r="A50" s="37" t="s">
        <v>63</v>
      </c>
      <c r="B50" s="37"/>
      <c r="C50" s="37"/>
      <c r="D50" s="37"/>
      <c r="E50" s="37"/>
      <c r="F50" s="37"/>
      <c r="G50" s="36"/>
    </row>
    <row r="51" spans="1:7" ht="17.25">
      <c r="A51" s="37" t="s">
        <v>64</v>
      </c>
      <c r="B51" s="37"/>
      <c r="C51" s="37"/>
      <c r="D51" s="37"/>
      <c r="E51" s="37"/>
      <c r="F51" s="37"/>
      <c r="G51" s="36">
        <f>172844.85+160763.39</f>
        <v>333608.24</v>
      </c>
    </row>
    <row r="52" spans="1:7" ht="17.25">
      <c r="A52" s="37" t="s">
        <v>65</v>
      </c>
      <c r="B52" s="37"/>
      <c r="C52" s="37"/>
      <c r="D52" s="37"/>
      <c r="E52" s="37"/>
      <c r="F52" s="37"/>
      <c r="G52" s="36">
        <v>89012.16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502892.06000000006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1489546.5346302055</v>
      </c>
    </row>
    <row r="57" spans="1:7" ht="17.25">
      <c r="A57" s="29" t="s">
        <v>70</v>
      </c>
      <c r="B57" s="29"/>
      <c r="C57" s="29"/>
      <c r="D57" s="29"/>
      <c r="E57" s="29"/>
      <c r="F57" s="29"/>
      <c r="G57" s="36">
        <f>-1123.02-5226.56-674.41</f>
        <v>-7023.99</v>
      </c>
    </row>
    <row r="58" spans="1:7" ht="15.75" customHeight="1">
      <c r="A58" s="40" t="s">
        <v>147</v>
      </c>
      <c r="B58" s="40"/>
      <c r="C58" s="40"/>
      <c r="D58" s="40"/>
      <c r="E58" s="40"/>
      <c r="F58" s="40"/>
      <c r="G58" s="39">
        <f>B3*B4*4+B3*B5*2+B3*B6*5+B3*B7*1+G59</f>
        <v>1164123.876</v>
      </c>
    </row>
    <row r="59" spans="1:7" ht="17.25">
      <c r="A59" s="41" t="s">
        <v>144</v>
      </c>
      <c r="B59" s="41"/>
      <c r="C59" s="41"/>
      <c r="D59" s="41"/>
      <c r="E59" s="41"/>
      <c r="F59" s="41"/>
      <c r="G59" s="36">
        <f>160*1*12+141.6*1*12+215.6*2*12+269*2*12+141.6*12*2</f>
        <v>18648</v>
      </c>
    </row>
    <row r="60" spans="1:7" ht="15.75" customHeight="1">
      <c r="A60" s="42" t="s">
        <v>73</v>
      </c>
      <c r="B60" s="42"/>
      <c r="C60" s="42"/>
      <c r="D60" s="42"/>
      <c r="E60" s="42"/>
      <c r="F60" s="42"/>
      <c r="G60" s="43">
        <v>81383.25</v>
      </c>
    </row>
    <row r="61" spans="1:7" ht="66" customHeight="1">
      <c r="A61" s="44" t="s">
        <v>164</v>
      </c>
      <c r="B61" s="44"/>
      <c r="C61" s="44"/>
      <c r="D61" s="44"/>
      <c r="E61" s="44"/>
      <c r="F61" s="44"/>
      <c r="G61" s="45">
        <f>G56-G58+G60-G57</f>
        <v>413829.89863020554</v>
      </c>
    </row>
    <row r="65" ht="15.7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5"/>
  </sheetPr>
  <dimension ref="A1:G68"/>
  <sheetViews>
    <sheetView zoomScale="75" zoomScaleNormal="75" workbookViewId="0" topLeftCell="A1">
      <selection activeCell="G21" sqref="G21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0.2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165</v>
      </c>
      <c r="C2" s="7"/>
      <c r="D2" s="7"/>
      <c r="E2" s="7"/>
      <c r="F2" s="8" t="s">
        <v>3</v>
      </c>
      <c r="G2" s="9">
        <v>4</v>
      </c>
    </row>
    <row r="3" spans="1:7" ht="18.75">
      <c r="A3" s="6" t="s">
        <v>4</v>
      </c>
      <c r="B3" s="10">
        <v>2792.6</v>
      </c>
      <c r="F3" s="8" t="s">
        <v>5</v>
      </c>
      <c r="G3" s="11">
        <v>4</v>
      </c>
    </row>
    <row r="4" spans="1:7" ht="18.75">
      <c r="A4" s="12" t="s">
        <v>6</v>
      </c>
      <c r="B4" s="13">
        <v>9.59</v>
      </c>
      <c r="C4" s="1" t="s">
        <v>93</v>
      </c>
      <c r="F4" s="8" t="s">
        <v>8</v>
      </c>
      <c r="G4" s="9">
        <v>1969</v>
      </c>
    </row>
    <row r="5" spans="1:7" ht="18.75">
      <c r="A5" s="12" t="s">
        <v>6</v>
      </c>
      <c r="B5" s="13">
        <v>9.74</v>
      </c>
      <c r="C5" s="1" t="s">
        <v>94</v>
      </c>
      <c r="F5" s="8"/>
      <c r="G5" s="9"/>
    </row>
    <row r="6" spans="1:7" ht="18.75">
      <c r="A6" s="12" t="s">
        <v>6</v>
      </c>
      <c r="B6" s="13">
        <v>9.79</v>
      </c>
      <c r="C6" s="1" t="s">
        <v>10</v>
      </c>
      <c r="F6" s="8"/>
      <c r="G6" s="9"/>
    </row>
    <row r="7" spans="1:3" ht="18.75">
      <c r="A7" s="12" t="s">
        <v>6</v>
      </c>
      <c r="B7" s="46">
        <v>10.21</v>
      </c>
      <c r="C7" s="1" t="s">
        <v>95</v>
      </c>
    </row>
    <row r="8" spans="1:7" ht="18.75" hidden="1">
      <c r="A8" s="15" t="s">
        <v>12</v>
      </c>
      <c r="B8" s="16">
        <v>269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1650</v>
      </c>
      <c r="C11" s="18">
        <v>2305</v>
      </c>
      <c r="D11" s="18">
        <v>856</v>
      </c>
      <c r="E11" s="18">
        <v>2712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702.1</v>
      </c>
      <c r="C13" s="21">
        <v>698.2</v>
      </c>
      <c r="D13" s="21">
        <f>B13+C13</f>
        <v>1400.3000000000002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40</v>
      </c>
      <c r="C15" s="25">
        <v>40</v>
      </c>
      <c r="D15" s="25">
        <v>0</v>
      </c>
      <c r="E15" s="26">
        <f>D15+C15+B15</f>
        <v>80</v>
      </c>
      <c r="F15" s="18">
        <v>0</v>
      </c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6">
        <f>B8*7.012*12</f>
        <v>22634.735999999997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6">
        <f>B9*35.705*12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6">
        <f>B12*0.3613*12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6">
        <f>(B11*9.46/100*189)+(C11*7.09/100*113)+(D11*23.66/100*71)+(E11*1.77/100*12)</f>
        <v>62923.60890000001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19679.72482033114</v>
      </c>
    </row>
    <row r="22" spans="1:7" ht="15.75">
      <c r="A22" s="29" t="s">
        <v>35</v>
      </c>
      <c r="B22" s="29"/>
      <c r="C22" s="29"/>
      <c r="D22" s="29"/>
      <c r="E22" s="29"/>
      <c r="F22" s="29"/>
      <c r="G22" s="36">
        <f>D13*0.135*6</f>
        <v>1134.2430000000002</v>
      </c>
    </row>
    <row r="23" spans="1:7" ht="15.75">
      <c r="A23" s="29" t="s">
        <v>36</v>
      </c>
      <c r="B23" s="29"/>
      <c r="C23" s="29"/>
      <c r="D23" s="29"/>
      <c r="E23" s="29"/>
      <c r="F23" s="29"/>
      <c r="G23" s="36">
        <f>114.94+2442.6+553.17+2313.21</f>
        <v>5423.92</v>
      </c>
    </row>
    <row r="24" spans="1:7" ht="15.75">
      <c r="A24" s="29" t="s">
        <v>37</v>
      </c>
      <c r="B24" s="29"/>
      <c r="C24" s="29"/>
      <c r="D24" s="29"/>
      <c r="E24" s="29"/>
      <c r="F24" s="29"/>
      <c r="G24" s="36">
        <f>B3*0.885*12</f>
        <v>29657.412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6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6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6">
        <v>0</v>
      </c>
    </row>
    <row r="28" spans="1:7" ht="15.75">
      <c r="A28" s="29" t="s">
        <v>41</v>
      </c>
      <c r="B28" s="29"/>
      <c r="C28" s="29"/>
      <c r="D28" s="29"/>
      <c r="E28" s="29"/>
      <c r="F28" s="29"/>
      <c r="G28" s="36">
        <f>4224+3017.52+269.56</f>
        <v>7511.080000000001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6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6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6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6">
        <f>B3*1.81*6+B3*1.86*6</f>
        <v>61493.051999999996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6">
        <f>(F15*4*8.57)+(B15*2*3.14)+(C15*1*3.14)+(D15*1*3.14)</f>
        <v>376.8</v>
      </c>
    </row>
    <row r="34" spans="1:7" ht="16.5">
      <c r="A34" s="29" t="s">
        <v>47</v>
      </c>
      <c r="B34" s="29"/>
      <c r="C34" s="29"/>
      <c r="D34" s="29"/>
      <c r="E34" s="29"/>
      <c r="F34" s="29"/>
      <c r="G34" s="36">
        <f>B3*0.65*12</f>
        <v>21782.28</v>
      </c>
    </row>
    <row r="35" spans="1:7" ht="16.5">
      <c r="A35" s="29" t="s">
        <v>48</v>
      </c>
      <c r="B35" s="29"/>
      <c r="C35" s="29"/>
      <c r="D35" s="29"/>
      <c r="E35" s="29"/>
      <c r="F35" s="29"/>
      <c r="G35" s="36">
        <f>B3*0.82*12</f>
        <v>27479.184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6">
        <f>B3*0.9*12</f>
        <v>30160.08</v>
      </c>
    </row>
    <row r="37" spans="1:7" ht="15.75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290256.12072033115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5.75" hidden="1">
      <c r="A39" s="29" t="s">
        <v>52</v>
      </c>
      <c r="B39" s="29"/>
      <c r="C39" s="29"/>
      <c r="D39" s="29"/>
      <c r="E39" s="29"/>
      <c r="F39" s="29"/>
      <c r="G39" s="36">
        <f>B3*2.96*12</f>
        <v>99193.152</v>
      </c>
    </row>
    <row r="40" spans="1:7" ht="15.75">
      <c r="A40" s="29" t="s">
        <v>53</v>
      </c>
      <c r="B40" s="29"/>
      <c r="C40" s="29"/>
      <c r="D40" s="29"/>
      <c r="E40" s="29"/>
      <c r="F40" s="29"/>
      <c r="G40" s="36"/>
    </row>
    <row r="41" spans="1:7" ht="17.25">
      <c r="A41" s="37" t="s">
        <v>54</v>
      </c>
      <c r="B41" s="37"/>
      <c r="C41" s="37"/>
      <c r="D41" s="37"/>
      <c r="E41" s="37"/>
      <c r="F41" s="37"/>
      <c r="G41" s="36"/>
    </row>
    <row r="42" spans="1:7" ht="17.25">
      <c r="A42" s="37" t="s">
        <v>55</v>
      </c>
      <c r="B42" s="37"/>
      <c r="C42" s="37"/>
      <c r="D42" s="37"/>
      <c r="E42" s="37"/>
      <c r="F42" s="37"/>
      <c r="G42" s="36">
        <v>558.41</v>
      </c>
    </row>
    <row r="43" spans="1:7" ht="17.25" hidden="1">
      <c r="A43" s="37" t="s">
        <v>56</v>
      </c>
      <c r="B43" s="37"/>
      <c r="C43" s="37"/>
      <c r="D43" s="37"/>
      <c r="E43" s="37"/>
      <c r="F43" s="37"/>
      <c r="G43" s="36"/>
    </row>
    <row r="44" spans="1:7" ht="17.25" hidden="1">
      <c r="A44" s="37" t="s">
        <v>57</v>
      </c>
      <c r="B44" s="37"/>
      <c r="C44" s="37"/>
      <c r="D44" s="37"/>
      <c r="E44" s="37"/>
      <c r="F44" s="37"/>
      <c r="G44" s="36"/>
    </row>
    <row r="45" spans="1:7" ht="17.25" hidden="1">
      <c r="A45" s="37" t="s">
        <v>58</v>
      </c>
      <c r="B45" s="37"/>
      <c r="C45" s="37"/>
      <c r="D45" s="37"/>
      <c r="E45" s="37"/>
      <c r="F45" s="37"/>
      <c r="G45" s="36"/>
    </row>
    <row r="46" spans="1:7" ht="16.5" hidden="1">
      <c r="A46" s="37" t="s">
        <v>59</v>
      </c>
      <c r="B46" s="37"/>
      <c r="C46" s="37"/>
      <c r="D46" s="37"/>
      <c r="E46" s="37"/>
      <c r="F46" s="37"/>
      <c r="G46" s="36"/>
    </row>
    <row r="47" spans="1:7" ht="17.25">
      <c r="A47" s="37" t="s">
        <v>60</v>
      </c>
      <c r="B47" s="37"/>
      <c r="C47" s="37"/>
      <c r="D47" s="37"/>
      <c r="E47" s="37"/>
      <c r="F47" s="37"/>
      <c r="G47" s="36">
        <v>42.07</v>
      </c>
    </row>
    <row r="48" spans="1:7" ht="17.25">
      <c r="A48" s="37" t="s">
        <v>61</v>
      </c>
      <c r="B48" s="37"/>
      <c r="C48" s="37"/>
      <c r="D48" s="37"/>
      <c r="E48" s="37"/>
      <c r="F48" s="37"/>
      <c r="G48" s="36">
        <v>15120.33</v>
      </c>
    </row>
    <row r="49" spans="1:7" ht="16.5">
      <c r="A49" s="37" t="s">
        <v>62</v>
      </c>
      <c r="B49" s="37"/>
      <c r="C49" s="37"/>
      <c r="D49" s="37"/>
      <c r="E49" s="37"/>
      <c r="F49" s="37"/>
      <c r="G49" s="36">
        <f>2204.17+17599.7</f>
        <v>19803.870000000003</v>
      </c>
    </row>
    <row r="50" spans="1:7" ht="17.25" hidden="1">
      <c r="A50" s="37" t="s">
        <v>63</v>
      </c>
      <c r="B50" s="37"/>
      <c r="C50" s="37"/>
      <c r="D50" s="37"/>
      <c r="E50" s="37"/>
      <c r="F50" s="37"/>
      <c r="G50" s="36"/>
    </row>
    <row r="51" spans="1:7" ht="17.25" hidden="1">
      <c r="A51" s="37" t="s">
        <v>64</v>
      </c>
      <c r="B51" s="37"/>
      <c r="C51" s="37"/>
      <c r="D51" s="37"/>
      <c r="E51" s="37"/>
      <c r="F51" s="37"/>
      <c r="G51" s="36"/>
    </row>
    <row r="52" spans="1:7" ht="17.25">
      <c r="A52" s="37" t="s">
        <v>65</v>
      </c>
      <c r="B52" s="37"/>
      <c r="C52" s="37"/>
      <c r="D52" s="37"/>
      <c r="E52" s="37"/>
      <c r="F52" s="37"/>
      <c r="G52" s="36">
        <v>15792.48</v>
      </c>
    </row>
    <row r="53" spans="1:7" ht="17.25" customHeight="1" hidden="1">
      <c r="A53" s="37" t="s">
        <v>166</v>
      </c>
      <c r="B53" s="37"/>
      <c r="C53" s="37"/>
      <c r="D53" s="37"/>
      <c r="E53" s="37"/>
      <c r="F53" s="37"/>
      <c r="G53" s="36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51317.16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341573.2807203311</v>
      </c>
    </row>
    <row r="57" spans="1:7" ht="16.5">
      <c r="A57" s="29" t="s">
        <v>70</v>
      </c>
      <c r="B57" s="29"/>
      <c r="C57" s="29"/>
      <c r="D57" s="29"/>
      <c r="E57" s="29"/>
      <c r="F57" s="29"/>
      <c r="G57" s="36">
        <v>0</v>
      </c>
    </row>
    <row r="58" spans="1:7" ht="15.75" customHeight="1">
      <c r="A58" s="40" t="s">
        <v>147</v>
      </c>
      <c r="B58" s="40"/>
      <c r="C58" s="40"/>
      <c r="D58" s="40"/>
      <c r="E58" s="40"/>
      <c r="F58" s="40"/>
      <c r="G58" s="39">
        <f>B3*B4*4+B3*B5*2+B3*B6*5+B3*B7*1+G59</f>
        <v>332940.6</v>
      </c>
    </row>
    <row r="59" spans="1:7" ht="16.5">
      <c r="A59" s="41" t="s">
        <v>144</v>
      </c>
      <c r="B59" s="41"/>
      <c r="C59" s="41"/>
      <c r="D59" s="41"/>
      <c r="E59" s="41"/>
      <c r="F59" s="41"/>
      <c r="G59" s="36">
        <f>1*141.6*12+1*215.6*12+160*1*12</f>
        <v>6206.4</v>
      </c>
    </row>
    <row r="60" spans="1:7" ht="15.75" customHeight="1">
      <c r="A60" s="42" t="s">
        <v>73</v>
      </c>
      <c r="B60" s="42"/>
      <c r="C60" s="42"/>
      <c r="D60" s="42"/>
      <c r="E60" s="42"/>
      <c r="F60" s="42"/>
      <c r="G60" s="43">
        <v>5761.98</v>
      </c>
    </row>
    <row r="61" spans="1:7" ht="58.5" customHeight="1">
      <c r="A61" s="44" t="s">
        <v>105</v>
      </c>
      <c r="B61" s="44"/>
      <c r="C61" s="44"/>
      <c r="D61" s="44"/>
      <c r="E61" s="44"/>
      <c r="F61" s="44"/>
      <c r="G61" s="45">
        <f>G56-G58+G60-G57</f>
        <v>14394.660720331147</v>
      </c>
    </row>
    <row r="66" ht="15.75">
      <c r="A66" s="1" t="s">
        <v>75</v>
      </c>
    </row>
    <row r="67" ht="15.75">
      <c r="A67" s="1" t="s">
        <v>167</v>
      </c>
    </row>
    <row r="68" ht="15.75">
      <c r="A68" s="1" t="s">
        <v>168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.19027777777777777" bottom="0" header="0.5118055555555555" footer="0.5118055555555555"/>
  <pageSetup horizontalDpi="300" verticalDpi="300" orientation="portrait" paperSize="9" scale="95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5"/>
  </sheetPr>
  <dimension ref="A1:G64"/>
  <sheetViews>
    <sheetView zoomScale="75" zoomScaleNormal="75" workbookViewId="0" topLeftCell="A4">
      <selection activeCell="A45" sqref="A45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4" width="9.140625" style="1" customWidth="1"/>
    <col min="5" max="5" width="7.8515625" style="1" customWidth="1"/>
    <col min="6" max="6" width="21.28125" style="1" customWidth="1"/>
    <col min="7" max="7" width="14.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62.2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169</v>
      </c>
      <c r="C2" s="7"/>
      <c r="D2" s="7"/>
      <c r="E2" s="7"/>
      <c r="F2" s="8" t="s">
        <v>3</v>
      </c>
      <c r="G2" s="9">
        <v>10</v>
      </c>
    </row>
    <row r="3" spans="1:7" ht="18.75">
      <c r="A3" s="6" t="s">
        <v>4</v>
      </c>
      <c r="B3" s="10">
        <v>11336.9</v>
      </c>
      <c r="F3" s="8" t="s">
        <v>5</v>
      </c>
      <c r="G3" s="11">
        <v>5</v>
      </c>
    </row>
    <row r="4" spans="1:7" ht="18.75">
      <c r="A4" s="12" t="s">
        <v>6</v>
      </c>
      <c r="B4" s="46">
        <v>12.21</v>
      </c>
      <c r="C4" s="1" t="s">
        <v>93</v>
      </c>
      <c r="F4" s="8" t="s">
        <v>8</v>
      </c>
      <c r="G4" s="9">
        <v>1991</v>
      </c>
    </row>
    <row r="5" spans="1:7" ht="18.75">
      <c r="A5" s="12" t="s">
        <v>6</v>
      </c>
      <c r="B5" s="46">
        <v>12.36</v>
      </c>
      <c r="C5" s="1" t="s">
        <v>94</v>
      </c>
      <c r="F5" s="8"/>
      <c r="G5" s="9"/>
    </row>
    <row r="6" spans="1:7" ht="18.75">
      <c r="A6" s="12" t="s">
        <v>6</v>
      </c>
      <c r="B6" s="46">
        <v>12.41</v>
      </c>
      <c r="C6" s="1" t="s">
        <v>10</v>
      </c>
      <c r="F6" s="8"/>
      <c r="G6" s="9"/>
    </row>
    <row r="7" spans="1:3" ht="18.75">
      <c r="A7" s="12" t="s">
        <v>6</v>
      </c>
      <c r="B7" s="46">
        <v>12.81</v>
      </c>
      <c r="C7" s="1" t="s">
        <v>95</v>
      </c>
    </row>
    <row r="8" spans="1:7" ht="18.75" hidden="1">
      <c r="A8" s="15" t="s">
        <v>12</v>
      </c>
      <c r="B8" s="16">
        <v>1789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5</v>
      </c>
      <c r="C9" s="17" t="s">
        <v>136</v>
      </c>
      <c r="D9" s="17">
        <v>5</v>
      </c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1467</v>
      </c>
      <c r="C11" s="18">
        <v>4830</v>
      </c>
      <c r="D11" s="18">
        <v>1235</v>
      </c>
      <c r="E11" s="18">
        <v>5062</v>
      </c>
      <c r="F11" s="17"/>
      <c r="G11" s="17"/>
    </row>
    <row r="12" spans="1:7" ht="18.75" hidden="1">
      <c r="A12" s="15" t="s">
        <v>19</v>
      </c>
      <c r="B12" s="21">
        <v>0</v>
      </c>
      <c r="C12" s="17" t="s">
        <v>137</v>
      </c>
      <c r="D12" s="17"/>
      <c r="E12" s="17"/>
      <c r="F12" s="17"/>
      <c r="G12" s="17"/>
    </row>
    <row r="13" spans="1:7" ht="18.75" hidden="1">
      <c r="A13" s="15" t="s">
        <v>21</v>
      </c>
      <c r="B13" s="21">
        <v>1654.8</v>
      </c>
      <c r="C13" s="21">
        <v>1133.7</v>
      </c>
      <c r="D13" s="21">
        <f>B13+C13</f>
        <v>2788.5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199</v>
      </c>
      <c r="C15" s="25">
        <v>0</v>
      </c>
      <c r="D15" s="25">
        <v>199</v>
      </c>
      <c r="E15" s="26">
        <f>D15+C15+B15</f>
        <v>398</v>
      </c>
      <c r="F15" s="18">
        <v>0</v>
      </c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0">
        <f>B8*7.012*12</f>
        <v>150533.61599999998</v>
      </c>
    </row>
    <row r="18" spans="1:7" ht="15.75">
      <c r="A18" s="29" t="s">
        <v>31</v>
      </c>
      <c r="B18" s="29"/>
      <c r="C18" s="29"/>
      <c r="D18" s="29"/>
      <c r="E18" s="29"/>
      <c r="F18" s="29"/>
      <c r="G18" s="30">
        <f>B9*35.705*12</f>
        <v>2142.2999999999997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0">
        <f>B12*0.3613*12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0">
        <f>(B11*9.46/100*189)+(C11*7.09/100*113)+(D11*23.66/100*71)+(E11*1.77/100*12)</f>
        <v>86747.0306</v>
      </c>
    </row>
    <row r="21" spans="1:7" ht="17.2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79892.24103545515</v>
      </c>
    </row>
    <row r="22" spans="1:7" ht="15.75">
      <c r="A22" s="29" t="s">
        <v>35</v>
      </c>
      <c r="B22" s="29"/>
      <c r="C22" s="29"/>
      <c r="D22" s="29"/>
      <c r="E22" s="29"/>
      <c r="F22" s="29"/>
      <c r="G22" s="30">
        <f>D13*0.135*6</f>
        <v>2258.6850000000004</v>
      </c>
    </row>
    <row r="23" spans="1:7" ht="15.75">
      <c r="A23" s="29" t="s">
        <v>36</v>
      </c>
      <c r="B23" s="29"/>
      <c r="C23" s="29"/>
      <c r="D23" s="29"/>
      <c r="E23" s="29"/>
      <c r="F23" s="29"/>
      <c r="G23" s="30">
        <v>0</v>
      </c>
    </row>
    <row r="24" spans="1:7" ht="15.75">
      <c r="A24" s="29" t="s">
        <v>37</v>
      </c>
      <c r="B24" s="29"/>
      <c r="C24" s="29"/>
      <c r="D24" s="29"/>
      <c r="E24" s="29"/>
      <c r="F24" s="29"/>
      <c r="G24" s="30">
        <f>B3*0.885*12</f>
        <v>120397.878</v>
      </c>
    </row>
    <row r="25" spans="1:7" ht="15.75">
      <c r="A25" s="29" t="s">
        <v>87</v>
      </c>
      <c r="B25" s="29"/>
      <c r="C25" s="29"/>
      <c r="D25" s="29"/>
      <c r="E25" s="29"/>
      <c r="F25" s="29"/>
      <c r="G25" s="30">
        <f>B3*2.648*4+B3*2.245*8</f>
        <v>323691.1688</v>
      </c>
    </row>
    <row r="26" spans="1:7" ht="15.75">
      <c r="A26" s="29" t="s">
        <v>39</v>
      </c>
      <c r="B26" s="29"/>
      <c r="C26" s="29"/>
      <c r="D26" s="29"/>
      <c r="E26" s="29"/>
      <c r="F26" s="29"/>
      <c r="G26" s="30">
        <f>5*2201</f>
        <v>11005</v>
      </c>
    </row>
    <row r="27" spans="1:7" ht="15.75">
      <c r="A27" s="29" t="s">
        <v>40</v>
      </c>
      <c r="B27" s="29"/>
      <c r="C27" s="29"/>
      <c r="D27" s="29"/>
      <c r="E27" s="29"/>
      <c r="F27" s="29"/>
      <c r="G27" s="30">
        <f>5*1209</f>
        <v>6045</v>
      </c>
    </row>
    <row r="28" spans="1:7" ht="15.75">
      <c r="A28" s="29" t="s">
        <v>41</v>
      </c>
      <c r="B28" s="29"/>
      <c r="C28" s="29"/>
      <c r="D28" s="29"/>
      <c r="E28" s="29"/>
      <c r="F28" s="29"/>
      <c r="G28" s="30">
        <v>25754.88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0">
        <f>B3*1.81*6+B3*1.86*6</f>
        <v>249638.538</v>
      </c>
    </row>
    <row r="33" spans="1:7" ht="17.25" customHeight="1">
      <c r="A33" s="31" t="s">
        <v>46</v>
      </c>
      <c r="B33" s="31"/>
      <c r="C33" s="31"/>
      <c r="D33" s="31"/>
      <c r="E33" s="31"/>
      <c r="F33" s="31"/>
      <c r="G33" s="36">
        <f>(F15*4*8.57)+(B15*2*3.14)+(C15*1*3.14)+(D15*1*3.14)</f>
        <v>1874.58</v>
      </c>
    </row>
    <row r="34" spans="1:7" ht="15.75">
      <c r="A34" s="29" t="s">
        <v>47</v>
      </c>
      <c r="B34" s="29"/>
      <c r="C34" s="29"/>
      <c r="D34" s="29"/>
      <c r="E34" s="29"/>
      <c r="F34" s="29"/>
      <c r="G34" s="30">
        <f>B3*0.65*12</f>
        <v>88427.81999999999</v>
      </c>
    </row>
    <row r="35" spans="1:7" ht="15.75">
      <c r="A35" s="29" t="s">
        <v>48</v>
      </c>
      <c r="B35" s="29"/>
      <c r="C35" s="29"/>
      <c r="D35" s="29"/>
      <c r="E35" s="29"/>
      <c r="F35" s="29"/>
      <c r="G35" s="30">
        <f>B3*0.82*12</f>
        <v>111555.09599999999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B3*0.95*12</f>
        <v>129240.66</v>
      </c>
    </row>
    <row r="37" spans="1:7" ht="15.7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1389204.493435455</v>
      </c>
    </row>
    <row r="38" spans="1:7" ht="17.2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5.75" hidden="1">
      <c r="A39" s="29" t="s">
        <v>52</v>
      </c>
      <c r="B39" s="29"/>
      <c r="C39" s="29"/>
      <c r="D39" s="29"/>
      <c r="E39" s="29"/>
      <c r="F39" s="29"/>
      <c r="G39" s="30">
        <f>B3*2.96*12</f>
        <v>402686.688</v>
      </c>
    </row>
    <row r="40" spans="1:7" ht="15.75">
      <c r="A40" s="29" t="s">
        <v>53</v>
      </c>
      <c r="B40" s="29"/>
      <c r="C40" s="29"/>
      <c r="D40" s="29"/>
      <c r="E40" s="29"/>
      <c r="F40" s="29"/>
      <c r="G40" s="30"/>
    </row>
    <row r="41" spans="1:7" ht="17.25">
      <c r="A41" s="37" t="s">
        <v>54</v>
      </c>
      <c r="B41" s="37"/>
      <c r="C41" s="37"/>
      <c r="D41" s="37"/>
      <c r="E41" s="37"/>
      <c r="F41" s="37"/>
      <c r="G41" s="30">
        <f>28558.93+14577.21</f>
        <v>43136.14</v>
      </c>
    </row>
    <row r="42" spans="1:7" ht="16.5">
      <c r="A42" s="37" t="s">
        <v>55</v>
      </c>
      <c r="B42" s="37"/>
      <c r="C42" s="37"/>
      <c r="D42" s="37"/>
      <c r="E42" s="37"/>
      <c r="F42" s="37"/>
      <c r="G42" s="30">
        <f>671.34+1155.6+984.64</f>
        <v>2811.58</v>
      </c>
    </row>
    <row r="43" spans="1:7" ht="16.5">
      <c r="A43" s="37" t="s">
        <v>56</v>
      </c>
      <c r="B43" s="37"/>
      <c r="C43" s="37"/>
      <c r="D43" s="37"/>
      <c r="E43" s="37"/>
      <c r="F43" s="37"/>
      <c r="G43" s="30"/>
    </row>
    <row r="44" spans="1:7" ht="16.5" hidden="1">
      <c r="A44" s="37" t="s">
        <v>57</v>
      </c>
      <c r="B44" s="37"/>
      <c r="C44" s="37"/>
      <c r="D44" s="37"/>
      <c r="E44" s="37"/>
      <c r="F44" s="37"/>
      <c r="G44" s="30"/>
    </row>
    <row r="45" spans="1:7" ht="16.5" hidden="1">
      <c r="A45" s="37" t="s">
        <v>58</v>
      </c>
      <c r="B45" s="37"/>
      <c r="C45" s="37"/>
      <c r="D45" s="37"/>
      <c r="E45" s="37"/>
      <c r="F45" s="37"/>
      <c r="G45" s="30"/>
    </row>
    <row r="46" spans="1:7" ht="16.5">
      <c r="A46" s="37" t="s">
        <v>59</v>
      </c>
      <c r="B46" s="37"/>
      <c r="C46" s="37"/>
      <c r="D46" s="37"/>
      <c r="E46" s="37"/>
      <c r="F46" s="37"/>
      <c r="G46" s="30">
        <f>2894.39+16.89</f>
        <v>2911.2799999999997</v>
      </c>
    </row>
    <row r="47" spans="1:7" ht="16.5">
      <c r="A47" s="37" t="s">
        <v>60</v>
      </c>
      <c r="B47" s="37"/>
      <c r="C47" s="37"/>
      <c r="D47" s="37"/>
      <c r="E47" s="37"/>
      <c r="F47" s="37"/>
      <c r="G47" s="30">
        <f>42.08+42.08+42.08+724.56</f>
        <v>850.8</v>
      </c>
    </row>
    <row r="48" spans="1:7" ht="16.5">
      <c r="A48" s="37" t="s">
        <v>61</v>
      </c>
      <c r="B48" s="37"/>
      <c r="C48" s="37"/>
      <c r="D48" s="37"/>
      <c r="E48" s="37"/>
      <c r="F48" s="37"/>
      <c r="G48" s="30">
        <f>361.19+7447.05</f>
        <v>7808.24</v>
      </c>
    </row>
    <row r="49" spans="1:7" ht="16.5" hidden="1">
      <c r="A49" s="37" t="s">
        <v>62</v>
      </c>
      <c r="B49" s="37"/>
      <c r="C49" s="37"/>
      <c r="D49" s="37"/>
      <c r="E49" s="37"/>
      <c r="F49" s="37"/>
      <c r="G49" s="30"/>
    </row>
    <row r="50" spans="1:7" ht="16.5">
      <c r="A50" s="37" t="s">
        <v>125</v>
      </c>
      <c r="B50" s="37"/>
      <c r="C50" s="37"/>
      <c r="D50" s="37"/>
      <c r="E50" s="37"/>
      <c r="F50" s="37"/>
      <c r="G50" s="30">
        <v>529.16</v>
      </c>
    </row>
    <row r="51" spans="1:7" ht="16.5" hidden="1">
      <c r="A51" s="37" t="s">
        <v>64</v>
      </c>
      <c r="B51" s="37"/>
      <c r="C51" s="37"/>
      <c r="D51" s="37"/>
      <c r="E51" s="37"/>
      <c r="F51" s="37"/>
      <c r="G51" s="30"/>
    </row>
    <row r="52" spans="1:7" ht="17.25">
      <c r="A52" s="37" t="s">
        <v>65</v>
      </c>
      <c r="B52" s="37"/>
      <c r="C52" s="37"/>
      <c r="D52" s="37"/>
      <c r="E52" s="37"/>
      <c r="F52" s="37"/>
      <c r="G52" s="30">
        <v>87576.48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7.2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145623.68</v>
      </c>
    </row>
    <row r="56" spans="1:7" ht="17.25" customHeight="1">
      <c r="A56" s="38" t="s">
        <v>69</v>
      </c>
      <c r="B56" s="38"/>
      <c r="C56" s="38"/>
      <c r="D56" s="38"/>
      <c r="E56" s="38"/>
      <c r="F56" s="38"/>
      <c r="G56" s="34">
        <f>G37+G55</f>
        <v>1534828.173435455</v>
      </c>
    </row>
    <row r="57" spans="1:7" ht="15.75">
      <c r="A57" s="29" t="s">
        <v>70</v>
      </c>
      <c r="B57" s="29"/>
      <c r="C57" s="29"/>
      <c r="D57" s="29"/>
      <c r="E57" s="29"/>
      <c r="F57" s="29"/>
      <c r="G57" s="30">
        <f>-6516.58-7769.83</f>
        <v>-14286.41</v>
      </c>
    </row>
    <row r="58" spans="1:7" ht="15.75" customHeight="1">
      <c r="A58" s="40" t="s">
        <v>147</v>
      </c>
      <c r="B58" s="40"/>
      <c r="C58" s="40"/>
      <c r="D58" s="40"/>
      <c r="E58" s="40"/>
      <c r="F58" s="40"/>
      <c r="G58" s="34">
        <f>B3*B4*4+B3*B5*2+B3*B6*5+B3*B7*1+G59</f>
        <v>1704909.098</v>
      </c>
    </row>
    <row r="59" spans="1:7" ht="15.75">
      <c r="A59" s="41" t="s">
        <v>144</v>
      </c>
      <c r="B59" s="41"/>
      <c r="C59" s="41"/>
      <c r="D59" s="41"/>
      <c r="E59" s="41"/>
      <c r="F59" s="41"/>
      <c r="G59" s="30">
        <f>180*1*12+141.6*3*12+215.6*2*12+141.6*2*12+269*2*12</f>
        <v>22286.4</v>
      </c>
    </row>
    <row r="60" spans="1:7" ht="15.75" customHeight="1">
      <c r="A60" s="42" t="s">
        <v>73</v>
      </c>
      <c r="B60" s="42"/>
      <c r="C60" s="42"/>
      <c r="D60" s="42"/>
      <c r="E60" s="42"/>
      <c r="F60" s="42"/>
      <c r="G60" s="47">
        <v>71953.16</v>
      </c>
    </row>
    <row r="61" spans="1:7" ht="54" customHeight="1">
      <c r="A61" s="44" t="s">
        <v>105</v>
      </c>
      <c r="B61" s="44"/>
      <c r="C61" s="44"/>
      <c r="D61" s="44"/>
      <c r="E61" s="44"/>
      <c r="F61" s="44"/>
      <c r="G61" s="48">
        <f>G56-G58+G60-G57</f>
        <v>-83841.35456454504</v>
      </c>
    </row>
    <row r="64" ht="15.75">
      <c r="A64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1"/>
  </sheetPr>
  <dimension ref="A1:G64"/>
  <sheetViews>
    <sheetView zoomScale="75" zoomScaleNormal="75" workbookViewId="0" topLeftCell="A1">
      <selection activeCell="G24" sqref="G24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2812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2.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76</v>
      </c>
      <c r="B2" s="7" t="s">
        <v>170</v>
      </c>
      <c r="C2" s="7"/>
      <c r="D2" s="7"/>
      <c r="E2" s="7"/>
      <c r="F2" s="8" t="s">
        <v>3</v>
      </c>
      <c r="G2" s="9">
        <v>10</v>
      </c>
    </row>
    <row r="3" spans="1:7" ht="18.75">
      <c r="A3" s="6" t="s">
        <v>78</v>
      </c>
      <c r="B3" s="10">
        <v>4753.7</v>
      </c>
      <c r="F3" s="8" t="s">
        <v>5</v>
      </c>
      <c r="G3" s="11">
        <v>2</v>
      </c>
    </row>
    <row r="4" spans="1:7" ht="18.75">
      <c r="A4" s="12" t="s">
        <v>79</v>
      </c>
      <c r="B4" s="46">
        <v>14.53</v>
      </c>
      <c r="C4" s="1" t="s">
        <v>93</v>
      </c>
      <c r="F4" s="8" t="s">
        <v>8</v>
      </c>
      <c r="G4" s="9">
        <v>1993</v>
      </c>
    </row>
    <row r="5" spans="1:7" ht="18.75">
      <c r="A5" s="12" t="s">
        <v>79</v>
      </c>
      <c r="B5" s="46">
        <v>14.68</v>
      </c>
      <c r="C5" s="1" t="s">
        <v>94</v>
      </c>
      <c r="F5" s="8"/>
      <c r="G5" s="9"/>
    </row>
    <row r="6" spans="1:7" ht="18.75">
      <c r="A6" s="12" t="s">
        <v>79</v>
      </c>
      <c r="B6" s="46">
        <v>14.73</v>
      </c>
      <c r="C6" s="1" t="s">
        <v>10</v>
      </c>
      <c r="F6" s="8"/>
      <c r="G6" s="9"/>
    </row>
    <row r="7" spans="1:3" ht="18.75">
      <c r="A7" s="12" t="s">
        <v>79</v>
      </c>
      <c r="B7" s="46">
        <v>15.28</v>
      </c>
      <c r="C7" s="1" t="s">
        <v>95</v>
      </c>
    </row>
    <row r="8" spans="1:7" ht="18.75" hidden="1">
      <c r="A8" s="15" t="s">
        <v>12</v>
      </c>
      <c r="B8" s="16">
        <v>705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2</v>
      </c>
      <c r="C9" s="17" t="s">
        <v>136</v>
      </c>
      <c r="D9" s="17">
        <v>2</v>
      </c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1203</v>
      </c>
      <c r="C11" s="18">
        <v>2198</v>
      </c>
      <c r="D11" s="18">
        <v>735</v>
      </c>
      <c r="E11" s="18">
        <v>2666</v>
      </c>
      <c r="F11" s="17"/>
      <c r="G11" s="17"/>
    </row>
    <row r="12" spans="1:7" ht="18.75" hidden="1">
      <c r="A12" s="15" t="s">
        <v>19</v>
      </c>
      <c r="B12" s="21">
        <v>0</v>
      </c>
      <c r="C12" s="17" t="s">
        <v>163</v>
      </c>
      <c r="D12" s="17"/>
      <c r="E12" s="17"/>
      <c r="F12" s="17"/>
      <c r="G12" s="17"/>
    </row>
    <row r="13" spans="1:7" ht="18.75" hidden="1">
      <c r="A13" s="15" t="s">
        <v>21</v>
      </c>
      <c r="B13" s="21">
        <v>693.1</v>
      </c>
      <c r="C13" s="21">
        <v>474.3</v>
      </c>
      <c r="D13" s="21">
        <f>B13+C13</f>
        <v>1167.4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80</v>
      </c>
      <c r="C15" s="25">
        <v>0</v>
      </c>
      <c r="D15" s="25">
        <v>80</v>
      </c>
      <c r="E15" s="26">
        <f>D15+C15+B15</f>
        <v>160</v>
      </c>
      <c r="F15" s="18">
        <v>0</v>
      </c>
      <c r="G15" s="17"/>
    </row>
    <row r="16" spans="1:7" ht="16.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6.5">
      <c r="A17" s="29" t="s">
        <v>30</v>
      </c>
      <c r="B17" s="29"/>
      <c r="C17" s="29"/>
      <c r="D17" s="29"/>
      <c r="E17" s="29"/>
      <c r="F17" s="29"/>
      <c r="G17" s="36">
        <f>B8*8.689*12</f>
        <v>73508.94</v>
      </c>
    </row>
    <row r="18" spans="1:7" ht="16.5">
      <c r="A18" s="29" t="s">
        <v>31</v>
      </c>
      <c r="B18" s="29"/>
      <c r="C18" s="29"/>
      <c r="D18" s="29"/>
      <c r="E18" s="29"/>
      <c r="F18" s="29"/>
      <c r="G18" s="36">
        <f>B9*19.03*12</f>
        <v>456.72</v>
      </c>
    </row>
    <row r="19" spans="1:7" ht="15.75" customHeight="1">
      <c r="A19" s="29" t="s">
        <v>85</v>
      </c>
      <c r="B19" s="29"/>
      <c r="C19" s="29"/>
      <c r="D19" s="29"/>
      <c r="E19" s="29"/>
      <c r="F19" s="29"/>
      <c r="G19" s="36">
        <f>B12*0.4523*12</f>
        <v>0</v>
      </c>
    </row>
    <row r="20" spans="1:7" ht="16.5">
      <c r="A20" s="29" t="s">
        <v>33</v>
      </c>
      <c r="B20" s="29"/>
      <c r="C20" s="29"/>
      <c r="D20" s="29"/>
      <c r="E20" s="29"/>
      <c r="F20" s="29"/>
      <c r="G20" s="36">
        <f>(B11*12.84/100*189)+(C11*9.63/100*113)+(D11*32.11/100*71)+(E11*2.41/100*12)</f>
        <v>70639.9497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33499.787967631644</v>
      </c>
    </row>
    <row r="22" spans="1:7" ht="16.5">
      <c r="A22" s="29" t="s">
        <v>35</v>
      </c>
      <c r="B22" s="29"/>
      <c r="C22" s="29"/>
      <c r="D22" s="29"/>
      <c r="E22" s="29"/>
      <c r="F22" s="29"/>
      <c r="G22" s="36">
        <f>D13*0.135*6</f>
        <v>945.594</v>
      </c>
    </row>
    <row r="23" spans="1:7" ht="16.5">
      <c r="A23" s="29" t="s">
        <v>36</v>
      </c>
      <c r="B23" s="29"/>
      <c r="C23" s="29"/>
      <c r="D23" s="29"/>
      <c r="E23" s="29"/>
      <c r="F23" s="29"/>
      <c r="G23" s="36">
        <v>0</v>
      </c>
    </row>
    <row r="24" spans="1:7" ht="16.5">
      <c r="A24" s="29" t="s">
        <v>37</v>
      </c>
      <c r="B24" s="29"/>
      <c r="C24" s="29"/>
      <c r="D24" s="29"/>
      <c r="E24" s="29"/>
      <c r="F24" s="29"/>
      <c r="G24" s="36">
        <f>B3*0.885*12</f>
        <v>50484.293999999994</v>
      </c>
    </row>
    <row r="25" spans="1:7" ht="16.5">
      <c r="A25" s="29" t="s">
        <v>87</v>
      </c>
      <c r="B25" s="29"/>
      <c r="C25" s="29"/>
      <c r="D25" s="29"/>
      <c r="E25" s="29"/>
      <c r="F25" s="29"/>
      <c r="G25" s="36">
        <f>B3*2.648*4+B3*2.245*8</f>
        <v>135727.6424</v>
      </c>
    </row>
    <row r="26" spans="1:7" ht="16.5">
      <c r="A26" s="29" t="s">
        <v>39</v>
      </c>
      <c r="B26" s="29"/>
      <c r="C26" s="29"/>
      <c r="D26" s="29"/>
      <c r="E26" s="29"/>
      <c r="F26" s="29"/>
      <c r="G26" s="36">
        <f>2201+2201</f>
        <v>4402</v>
      </c>
    </row>
    <row r="27" spans="1:7" ht="16.5">
      <c r="A27" s="29" t="s">
        <v>40</v>
      </c>
      <c r="B27" s="29"/>
      <c r="C27" s="29"/>
      <c r="D27" s="29"/>
      <c r="E27" s="29"/>
      <c r="F27" s="29"/>
      <c r="G27" s="36">
        <f>1209*2</f>
        <v>2418</v>
      </c>
    </row>
    <row r="28" spans="1:7" ht="16.5">
      <c r="A28" s="29" t="s">
        <v>41</v>
      </c>
      <c r="B28" s="29"/>
      <c r="C28" s="29"/>
      <c r="D28" s="29"/>
      <c r="E28" s="29"/>
      <c r="F28" s="29"/>
      <c r="G28" s="36">
        <v>7780.64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6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6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6">
        <v>0</v>
      </c>
    </row>
    <row r="32" spans="1:7" ht="16.5">
      <c r="A32" s="29" t="s">
        <v>45</v>
      </c>
      <c r="B32" s="29"/>
      <c r="C32" s="29"/>
      <c r="D32" s="29"/>
      <c r="E32" s="29"/>
      <c r="F32" s="29"/>
      <c r="G32" s="36">
        <f>B3*1.81*6+B3*1.86*6</f>
        <v>104676.474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6">
        <f>(F15*4*8.57)+(B15*2*3.14)+(C15*1*3.14)+(D15*1*3.14)</f>
        <v>753.6</v>
      </c>
    </row>
    <row r="34" spans="1:7" ht="16.5">
      <c r="A34" s="29" t="s">
        <v>47</v>
      </c>
      <c r="B34" s="29"/>
      <c r="C34" s="29"/>
      <c r="D34" s="29"/>
      <c r="E34" s="29"/>
      <c r="F34" s="29"/>
      <c r="G34" s="36">
        <f>B3*0.65*12</f>
        <v>37078.86</v>
      </c>
    </row>
    <row r="35" spans="1:7" ht="16.5">
      <c r="A35" s="29" t="s">
        <v>48</v>
      </c>
      <c r="B35" s="29"/>
      <c r="C35" s="29"/>
      <c r="D35" s="29"/>
      <c r="E35" s="29"/>
      <c r="F35" s="29"/>
      <c r="G35" s="36">
        <f>B3*0.82*12</f>
        <v>46776.408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6">
        <f>B3*0.95*12</f>
        <v>54192.18000000001</v>
      </c>
    </row>
    <row r="37" spans="1:7" ht="16.5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623341.0900676317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5.75" hidden="1">
      <c r="A39" s="29" t="s">
        <v>52</v>
      </c>
      <c r="B39" s="29"/>
      <c r="C39" s="29"/>
      <c r="D39" s="29"/>
      <c r="E39" s="29"/>
      <c r="F39" s="29"/>
      <c r="G39" s="36">
        <f>B3*3.47*12</f>
        <v>197944.068</v>
      </c>
    </row>
    <row r="40" spans="1:7" ht="15.75">
      <c r="A40" s="29" t="s">
        <v>53</v>
      </c>
      <c r="B40" s="29"/>
      <c r="C40" s="29"/>
      <c r="D40" s="29"/>
      <c r="E40" s="29"/>
      <c r="F40" s="29"/>
      <c r="G40" s="36"/>
    </row>
    <row r="41" spans="1:7" ht="16.5">
      <c r="A41" s="37" t="s">
        <v>54</v>
      </c>
      <c r="B41" s="37"/>
      <c r="C41" s="37"/>
      <c r="D41" s="37"/>
      <c r="E41" s="37"/>
      <c r="F41" s="37"/>
      <c r="G41" s="36"/>
    </row>
    <row r="42" spans="1:7" ht="16.5">
      <c r="A42" s="37" t="s">
        <v>55</v>
      </c>
      <c r="B42" s="37"/>
      <c r="C42" s="37"/>
      <c r="D42" s="37"/>
      <c r="E42" s="37"/>
      <c r="F42" s="37"/>
      <c r="G42" s="36"/>
    </row>
    <row r="43" spans="1:7" ht="16.5">
      <c r="A43" s="37" t="s">
        <v>56</v>
      </c>
      <c r="B43" s="37"/>
      <c r="C43" s="37"/>
      <c r="D43" s="37"/>
      <c r="E43" s="37"/>
      <c r="F43" s="37"/>
      <c r="G43" s="36"/>
    </row>
    <row r="44" spans="1:7" ht="16.5" hidden="1">
      <c r="A44" s="37" t="s">
        <v>57</v>
      </c>
      <c r="B44" s="37"/>
      <c r="C44" s="37"/>
      <c r="D44" s="37"/>
      <c r="E44" s="37"/>
      <c r="F44" s="37"/>
      <c r="G44" s="36"/>
    </row>
    <row r="45" spans="1:7" ht="16.5" hidden="1">
      <c r="A45" s="37" t="s">
        <v>58</v>
      </c>
      <c r="B45" s="37"/>
      <c r="C45" s="37"/>
      <c r="D45" s="37"/>
      <c r="E45" s="37"/>
      <c r="F45" s="37"/>
      <c r="G45" s="36"/>
    </row>
    <row r="46" spans="1:7" ht="16.5" hidden="1">
      <c r="A46" s="37" t="s">
        <v>59</v>
      </c>
      <c r="B46" s="37"/>
      <c r="C46" s="37"/>
      <c r="D46" s="37"/>
      <c r="E46" s="37"/>
      <c r="F46" s="37"/>
      <c r="G46" s="36"/>
    </row>
    <row r="47" spans="1:7" ht="16.5" hidden="1">
      <c r="A47" s="37" t="s">
        <v>60</v>
      </c>
      <c r="B47" s="37"/>
      <c r="C47" s="37"/>
      <c r="D47" s="37"/>
      <c r="E47" s="37"/>
      <c r="F47" s="37"/>
      <c r="G47" s="36"/>
    </row>
    <row r="48" spans="1:7" ht="16.5" hidden="1">
      <c r="A48" s="37" t="s">
        <v>61</v>
      </c>
      <c r="B48" s="37"/>
      <c r="C48" s="37"/>
      <c r="D48" s="37"/>
      <c r="E48" s="37"/>
      <c r="F48" s="37"/>
      <c r="G48" s="36"/>
    </row>
    <row r="49" spans="1:7" ht="16.5" hidden="1">
      <c r="A49" s="37" t="s">
        <v>62</v>
      </c>
      <c r="B49" s="37"/>
      <c r="C49" s="37"/>
      <c r="D49" s="37"/>
      <c r="E49" s="37"/>
      <c r="F49" s="37"/>
      <c r="G49" s="36"/>
    </row>
    <row r="50" spans="1:7" ht="16.5">
      <c r="A50" s="37" t="s">
        <v>125</v>
      </c>
      <c r="B50" s="37"/>
      <c r="C50" s="37"/>
      <c r="D50" s="37"/>
      <c r="E50" s="37"/>
      <c r="F50" s="37"/>
      <c r="G50" s="36">
        <f>2898.35+37.81</f>
        <v>2936.16</v>
      </c>
    </row>
    <row r="51" spans="1:7" ht="16.5" hidden="1">
      <c r="A51" s="37" t="s">
        <v>64</v>
      </c>
      <c r="B51" s="37"/>
      <c r="C51" s="37"/>
      <c r="D51" s="37"/>
      <c r="E51" s="37"/>
      <c r="F51" s="37"/>
      <c r="G51" s="36"/>
    </row>
    <row r="52" spans="1:7" ht="16.5">
      <c r="A52" s="37" t="s">
        <v>65</v>
      </c>
      <c r="B52" s="37"/>
      <c r="C52" s="37"/>
      <c r="D52" s="37"/>
      <c r="E52" s="37"/>
      <c r="F52" s="37"/>
      <c r="G52" s="36">
        <v>34456.32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37392.479999999996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660733.5700676317</v>
      </c>
    </row>
    <row r="57" spans="1:7" ht="16.5">
      <c r="A57" s="29" t="s">
        <v>70</v>
      </c>
      <c r="B57" s="29"/>
      <c r="C57" s="29"/>
      <c r="D57" s="29"/>
      <c r="E57" s="29"/>
      <c r="F57" s="29"/>
      <c r="G57" s="36">
        <v>0</v>
      </c>
    </row>
    <row r="58" spans="1:7" ht="15.75" customHeight="1">
      <c r="A58" s="40" t="s">
        <v>147</v>
      </c>
      <c r="B58" s="40"/>
      <c r="C58" s="40"/>
      <c r="D58" s="40"/>
      <c r="E58" s="40"/>
      <c r="F58" s="40"/>
      <c r="G58" s="39">
        <f>B3*B4*4+B3*B5*2+B3*B6*5+B3*B7*1+G59</f>
        <v>852561.017</v>
      </c>
    </row>
    <row r="59" spans="1:7" ht="16.5">
      <c r="A59" s="41" t="s">
        <v>144</v>
      </c>
      <c r="B59" s="41"/>
      <c r="C59" s="41"/>
      <c r="D59" s="41"/>
      <c r="E59" s="41"/>
      <c r="F59" s="41"/>
      <c r="G59" s="36">
        <f>1*141.6*12+1*141.6*12+1*180*12+215.6*2*12+269*1*12</f>
        <v>13960.8</v>
      </c>
    </row>
    <row r="60" spans="1:7" ht="15.75" customHeight="1">
      <c r="A60" s="42" t="s">
        <v>73</v>
      </c>
      <c r="B60" s="42"/>
      <c r="C60" s="42"/>
      <c r="D60" s="42"/>
      <c r="E60" s="42"/>
      <c r="F60" s="42"/>
      <c r="G60" s="43">
        <v>28257.61</v>
      </c>
    </row>
    <row r="61" spans="1:7" ht="57" customHeight="1">
      <c r="A61" s="44" t="s">
        <v>159</v>
      </c>
      <c r="B61" s="44"/>
      <c r="C61" s="44"/>
      <c r="D61" s="44"/>
      <c r="E61" s="44"/>
      <c r="F61" s="44"/>
      <c r="G61" s="45">
        <f>G56-G58-G57+G60</f>
        <v>-163569.83693236834</v>
      </c>
    </row>
    <row r="62" ht="16.5"/>
    <row r="64" ht="15.75">
      <c r="A64" s="1" t="s">
        <v>75</v>
      </c>
    </row>
    <row r="69" ht="16.5"/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5"/>
  </sheetPr>
  <dimension ref="A1:G65"/>
  <sheetViews>
    <sheetView zoomScale="75" zoomScaleNormal="75" workbookViewId="0" topLeftCell="A1">
      <selection activeCell="G21" sqref="G21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4" width="9.140625" style="1" customWidth="1"/>
    <col min="5" max="5" width="8.00390625" style="1" customWidth="1"/>
    <col min="6" max="6" width="21.421875" style="1" customWidth="1"/>
    <col min="7" max="7" width="14.851562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47.2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171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3469</v>
      </c>
      <c r="F3" s="8" t="s">
        <v>5</v>
      </c>
      <c r="G3" s="11">
        <v>4</v>
      </c>
    </row>
    <row r="4" spans="1:7" ht="18.75">
      <c r="A4" s="12" t="s">
        <v>6</v>
      </c>
      <c r="B4" s="46">
        <v>11.39</v>
      </c>
      <c r="C4" s="1" t="s">
        <v>93</v>
      </c>
      <c r="F4" s="8" t="s">
        <v>8</v>
      </c>
      <c r="G4" s="9">
        <v>1964</v>
      </c>
    </row>
    <row r="5" spans="1:7" ht="18.75">
      <c r="A5" s="12" t="s">
        <v>6</v>
      </c>
      <c r="B5" s="46">
        <v>11.54</v>
      </c>
      <c r="C5" s="1" t="s">
        <v>94</v>
      </c>
      <c r="F5" s="8"/>
      <c r="G5" s="9"/>
    </row>
    <row r="6" spans="1:7" ht="18.75">
      <c r="A6" s="12" t="s">
        <v>6</v>
      </c>
      <c r="B6" s="46">
        <v>11.59</v>
      </c>
      <c r="C6" s="1" t="s">
        <v>10</v>
      </c>
      <c r="F6" s="8"/>
      <c r="G6" s="9"/>
    </row>
    <row r="7" spans="1:3" ht="18.75">
      <c r="A7" s="12" t="s">
        <v>6</v>
      </c>
      <c r="B7" s="46">
        <v>12.14</v>
      </c>
      <c r="C7" s="1" t="s">
        <v>95</v>
      </c>
    </row>
    <row r="8" spans="1:7" ht="18.75" hidden="1">
      <c r="A8" s="15" t="s">
        <v>12</v>
      </c>
      <c r="B8" s="16">
        <v>338.2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1553</v>
      </c>
      <c r="C11" s="18">
        <v>1756</v>
      </c>
      <c r="D11" s="18">
        <v>1553</v>
      </c>
      <c r="E11" s="18">
        <v>1756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419.7</v>
      </c>
      <c r="C13" s="21">
        <v>681.7</v>
      </c>
      <c r="D13" s="21">
        <f>B13+C13</f>
        <v>1101.4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85</v>
      </c>
      <c r="C15" s="25">
        <v>85</v>
      </c>
      <c r="D15" s="25"/>
      <c r="E15" s="26">
        <f>D15+C15+B15</f>
        <v>170</v>
      </c>
      <c r="F15" s="18">
        <v>85</v>
      </c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6">
        <f>B8*7.012*12</f>
        <v>28457.5008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6">
        <f>B9*35.705*12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6">
        <f>B12*0.3613*12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6">
        <f>(B11*9.46/100*189)+(C11*7.09/100*113)+(D11*23.66/100*71)+(E11*1.77/100*12)</f>
        <v>68296.45360000001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24446.38165212659</v>
      </c>
    </row>
    <row r="22" spans="1:7" ht="15.75">
      <c r="A22" s="29" t="s">
        <v>35</v>
      </c>
      <c r="B22" s="29"/>
      <c r="C22" s="29"/>
      <c r="D22" s="29"/>
      <c r="E22" s="29"/>
      <c r="F22" s="29"/>
      <c r="G22" s="36">
        <f>D13*0.135*6</f>
        <v>892.1340000000001</v>
      </c>
    </row>
    <row r="23" spans="1:7" ht="15.75">
      <c r="A23" s="29" t="s">
        <v>36</v>
      </c>
      <c r="B23" s="29"/>
      <c r="C23" s="29"/>
      <c r="D23" s="29"/>
      <c r="E23" s="29"/>
      <c r="F23" s="29"/>
      <c r="G23" s="36">
        <f>114.94+5129.46+5129.46+1264.39+4626.43</f>
        <v>16264.68</v>
      </c>
    </row>
    <row r="24" spans="1:7" ht="15.75" hidden="1">
      <c r="A24" s="29" t="s">
        <v>37</v>
      </c>
      <c r="B24" s="29"/>
      <c r="C24" s="29"/>
      <c r="D24" s="29"/>
      <c r="E24" s="29"/>
      <c r="F24" s="29"/>
      <c r="G24" s="36">
        <f>B3*0.885*4</f>
        <v>12280.26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6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6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6">
        <v>0</v>
      </c>
    </row>
    <row r="28" spans="1:7" ht="15.75">
      <c r="A28" s="29" t="s">
        <v>41</v>
      </c>
      <c r="B28" s="29"/>
      <c r="C28" s="29"/>
      <c r="D28" s="29"/>
      <c r="E28" s="29"/>
      <c r="F28" s="29"/>
      <c r="G28" s="36">
        <v>7511.08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6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6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6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6">
        <f>B3*1.81*6+B3*1.86*6</f>
        <v>76387.38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6">
        <f>(F15*4*8.57)+(B15*2*3.14)+(C15*1*3.14)+(D15*1*3.14)</f>
        <v>3714.5000000000005</v>
      </c>
    </row>
    <row r="34" spans="1:7" ht="15.75">
      <c r="A34" s="29" t="s">
        <v>47</v>
      </c>
      <c r="B34" s="29"/>
      <c r="C34" s="29"/>
      <c r="D34" s="29"/>
      <c r="E34" s="29"/>
      <c r="F34" s="29"/>
      <c r="G34" s="36">
        <f>B3*0.65*12</f>
        <v>27058.199999999997</v>
      </c>
    </row>
    <row r="35" spans="1:7" ht="15.75">
      <c r="A35" s="29" t="s">
        <v>48</v>
      </c>
      <c r="B35" s="29"/>
      <c r="C35" s="29"/>
      <c r="D35" s="29"/>
      <c r="E35" s="29"/>
      <c r="F35" s="29"/>
      <c r="G35" s="36">
        <f>B3*0.82*12</f>
        <v>34134.96000000001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6">
        <f>B3*0.95*12</f>
        <v>39546.600000000006</v>
      </c>
    </row>
    <row r="37" spans="1:7" ht="15.75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338990.1300521266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5.75" hidden="1">
      <c r="A39" s="29" t="s">
        <v>52</v>
      </c>
      <c r="B39" s="29"/>
      <c r="C39" s="29"/>
      <c r="D39" s="29"/>
      <c r="E39" s="29"/>
      <c r="F39" s="29"/>
      <c r="G39" s="36">
        <f>B3*2.96*12</f>
        <v>123218.88</v>
      </c>
    </row>
    <row r="40" spans="1:7" ht="15.75">
      <c r="A40" s="29" t="s">
        <v>53</v>
      </c>
      <c r="B40" s="29"/>
      <c r="C40" s="29"/>
      <c r="D40" s="29"/>
      <c r="E40" s="29"/>
      <c r="F40" s="29"/>
      <c r="G40" s="36"/>
    </row>
    <row r="41" spans="1:7" ht="16.5">
      <c r="A41" s="37" t="s">
        <v>54</v>
      </c>
      <c r="B41" s="37"/>
      <c r="C41" s="37"/>
      <c r="D41" s="37"/>
      <c r="E41" s="37"/>
      <c r="F41" s="37"/>
      <c r="G41" s="30">
        <v>2873.43</v>
      </c>
    </row>
    <row r="42" spans="1:7" ht="16.5">
      <c r="A42" s="37" t="s">
        <v>55</v>
      </c>
      <c r="B42" s="37"/>
      <c r="C42" s="37"/>
      <c r="D42" s="37"/>
      <c r="E42" s="37"/>
      <c r="F42" s="37"/>
      <c r="G42" s="36"/>
    </row>
    <row r="43" spans="1:7" ht="16.5">
      <c r="A43" s="37" t="s">
        <v>56</v>
      </c>
      <c r="B43" s="37"/>
      <c r="C43" s="37"/>
      <c r="D43" s="37"/>
      <c r="E43" s="37"/>
      <c r="F43" s="37"/>
      <c r="G43" s="36"/>
    </row>
    <row r="44" spans="1:7" ht="16.5" hidden="1">
      <c r="A44" s="37" t="s">
        <v>57</v>
      </c>
      <c r="B44" s="37"/>
      <c r="C44" s="37"/>
      <c r="D44" s="37"/>
      <c r="E44" s="37"/>
      <c r="F44" s="37"/>
      <c r="G44" s="36"/>
    </row>
    <row r="45" spans="1:7" ht="16.5" hidden="1">
      <c r="A45" s="37" t="s">
        <v>58</v>
      </c>
      <c r="B45" s="37"/>
      <c r="C45" s="37"/>
      <c r="D45" s="37"/>
      <c r="E45" s="37"/>
      <c r="F45" s="37"/>
      <c r="G45" s="36"/>
    </row>
    <row r="46" spans="1:7" ht="16.5">
      <c r="A46" s="37" t="s">
        <v>59</v>
      </c>
      <c r="B46" s="37"/>
      <c r="C46" s="37"/>
      <c r="D46" s="37"/>
      <c r="E46" s="37"/>
      <c r="F46" s="37"/>
      <c r="G46" s="36"/>
    </row>
    <row r="47" spans="1:7" ht="16.5">
      <c r="A47" s="37" t="s">
        <v>60</v>
      </c>
      <c r="B47" s="37"/>
      <c r="C47" s="37"/>
      <c r="D47" s="37"/>
      <c r="E47" s="37"/>
      <c r="F47" s="37"/>
      <c r="G47" s="36">
        <v>42.08</v>
      </c>
    </row>
    <row r="48" spans="1:7" ht="16.5" hidden="1">
      <c r="A48" s="37" t="s">
        <v>61</v>
      </c>
      <c r="B48" s="37"/>
      <c r="C48" s="37"/>
      <c r="D48" s="37"/>
      <c r="E48" s="37"/>
      <c r="F48" s="37"/>
      <c r="G48" s="36"/>
    </row>
    <row r="49" spans="1:7" ht="16.5">
      <c r="A49" s="37" t="s">
        <v>62</v>
      </c>
      <c r="B49" s="37"/>
      <c r="C49" s="37"/>
      <c r="D49" s="37"/>
      <c r="E49" s="37"/>
      <c r="F49" s="37"/>
      <c r="G49" s="30">
        <f>1155.04+2608.52</f>
        <v>3763.56</v>
      </c>
    </row>
    <row r="50" spans="1:7" ht="16.5">
      <c r="A50" s="37" t="s">
        <v>172</v>
      </c>
      <c r="B50" s="37"/>
      <c r="C50" s="37"/>
      <c r="D50" s="37"/>
      <c r="E50" s="37"/>
      <c r="F50" s="37"/>
      <c r="G50" s="30">
        <f>2173.77+5217.04+3225.99+1921.74+1921.74+2173.77+8405.22+4555.47</f>
        <v>29594.739999999998</v>
      </c>
    </row>
    <row r="51" spans="1:7" ht="17.25" hidden="1">
      <c r="A51" s="37" t="s">
        <v>64</v>
      </c>
      <c r="B51" s="37"/>
      <c r="C51" s="37"/>
      <c r="D51" s="37"/>
      <c r="E51" s="37"/>
      <c r="F51" s="37"/>
      <c r="G51" s="36"/>
    </row>
    <row r="52" spans="1:7" ht="16.5">
      <c r="A52" s="37" t="s">
        <v>65</v>
      </c>
      <c r="B52" s="37"/>
      <c r="C52" s="37"/>
      <c r="D52" s="37"/>
      <c r="E52" s="37"/>
      <c r="F52" s="37"/>
      <c r="G52" s="36">
        <v>36370.56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72644.37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411634.5000521266</v>
      </c>
    </row>
    <row r="57" spans="1:7" ht="16.5">
      <c r="A57" s="29" t="s">
        <v>70</v>
      </c>
      <c r="B57" s="29"/>
      <c r="C57" s="29"/>
      <c r="D57" s="29"/>
      <c r="E57" s="29"/>
      <c r="F57" s="29"/>
      <c r="G57" s="36">
        <f>-4051.98-3038.99-4165.62-3907.33-4187.02-723.58</f>
        <v>-20074.520000000004</v>
      </c>
    </row>
    <row r="58" spans="1:7" ht="15.75" customHeight="1">
      <c r="A58" s="40" t="s">
        <v>147</v>
      </c>
      <c r="B58" s="40"/>
      <c r="C58" s="40"/>
      <c r="D58" s="40"/>
      <c r="E58" s="40"/>
      <c r="F58" s="40"/>
      <c r="G58" s="39">
        <f>B3*B4*4+B3*B5*2+B3*B6*5+B3*1*B7+G59</f>
        <v>485540.77</v>
      </c>
    </row>
    <row r="59" spans="1:7" ht="16.5">
      <c r="A59" s="41" t="s">
        <v>144</v>
      </c>
      <c r="B59" s="41"/>
      <c r="C59" s="41"/>
      <c r="D59" s="41"/>
      <c r="E59" s="41"/>
      <c r="F59" s="41"/>
      <c r="G59" s="39">
        <f>141.6*1*12+215.6*1*12</f>
        <v>4286.4</v>
      </c>
    </row>
    <row r="60" spans="1:7" ht="15.75" customHeight="1">
      <c r="A60" s="42" t="s">
        <v>73</v>
      </c>
      <c r="B60" s="42"/>
      <c r="C60" s="42"/>
      <c r="D60" s="42"/>
      <c r="E60" s="42"/>
      <c r="F60" s="42"/>
      <c r="G60" s="43">
        <v>41638.28</v>
      </c>
    </row>
    <row r="61" spans="1:7" ht="57.75" customHeight="1">
      <c r="A61" s="44" t="s">
        <v>90</v>
      </c>
      <c r="B61" s="44"/>
      <c r="C61" s="44"/>
      <c r="D61" s="44"/>
      <c r="E61" s="44"/>
      <c r="F61" s="44"/>
      <c r="G61" s="45">
        <f>G56-G58+G60-G57</f>
        <v>-12193.469947873426</v>
      </c>
    </row>
    <row r="65" ht="15.7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9"/>
  </sheetPr>
  <dimension ref="A1:G64"/>
  <sheetViews>
    <sheetView zoomScale="75" zoomScaleNormal="75" workbookViewId="0" topLeftCell="A1">
      <selection activeCell="G21" sqref="G21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19.57421875" style="1" customWidth="1"/>
    <col min="7" max="7" width="14.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0.2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173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3487.8</v>
      </c>
      <c r="F3" s="8" t="s">
        <v>5</v>
      </c>
      <c r="G3" s="11">
        <v>4</v>
      </c>
    </row>
    <row r="4" spans="1:7" ht="18.75">
      <c r="A4" s="12" t="s">
        <v>6</v>
      </c>
      <c r="B4" s="46">
        <v>11.39</v>
      </c>
      <c r="C4" s="1" t="s">
        <v>93</v>
      </c>
      <c r="F4" s="8" t="s">
        <v>8</v>
      </c>
      <c r="G4" s="9">
        <v>1966</v>
      </c>
    </row>
    <row r="5" spans="1:7" ht="18.75">
      <c r="A5" s="12" t="s">
        <v>6</v>
      </c>
      <c r="B5" s="46">
        <v>11.54</v>
      </c>
      <c r="C5" s="1" t="s">
        <v>94</v>
      </c>
      <c r="F5" s="8"/>
      <c r="G5" s="9"/>
    </row>
    <row r="6" spans="1:7" ht="18.75">
      <c r="A6" s="12" t="s">
        <v>6</v>
      </c>
      <c r="B6" s="46">
        <v>11.59</v>
      </c>
      <c r="C6" s="1" t="s">
        <v>10</v>
      </c>
      <c r="F6" s="8"/>
      <c r="G6" s="9"/>
    </row>
    <row r="7" spans="1:3" ht="18.75">
      <c r="A7" s="12" t="s">
        <v>6</v>
      </c>
      <c r="B7" s="46">
        <v>12.14</v>
      </c>
      <c r="C7" s="1" t="s">
        <v>95</v>
      </c>
    </row>
    <row r="8" spans="1:7" ht="18.75" hidden="1">
      <c r="A8" s="15" t="s">
        <v>12</v>
      </c>
      <c r="B8" s="16">
        <v>285.8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1105</v>
      </c>
      <c r="C11" s="18">
        <v>1762</v>
      </c>
      <c r="D11" s="18">
        <v>1105</v>
      </c>
      <c r="E11" s="18">
        <v>1762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597</v>
      </c>
      <c r="C13" s="21">
        <v>673.8</v>
      </c>
      <c r="D13" s="21">
        <f>B13+C13</f>
        <v>1270.8</v>
      </c>
      <c r="E13" s="17"/>
      <c r="F13" s="17"/>
      <c r="G13" s="17"/>
    </row>
    <row r="14" spans="1:7" ht="48.75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70</v>
      </c>
      <c r="C15" s="25">
        <v>70</v>
      </c>
      <c r="D15" s="25"/>
      <c r="E15" s="26">
        <f>D15+C15+B15</f>
        <v>140</v>
      </c>
      <c r="F15" s="18">
        <v>70</v>
      </c>
      <c r="G15" s="17"/>
    </row>
    <row r="16" spans="1:7" ht="16.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6.5">
      <c r="A17" s="29" t="s">
        <v>30</v>
      </c>
      <c r="B17" s="29"/>
      <c r="C17" s="29"/>
      <c r="D17" s="29"/>
      <c r="E17" s="29"/>
      <c r="F17" s="29"/>
      <c r="G17" s="36">
        <f>B8*8.689*12</f>
        <v>29799.794400000002</v>
      </c>
    </row>
    <row r="18" spans="1:7" ht="16.5" hidden="1">
      <c r="A18" s="29" t="s">
        <v>31</v>
      </c>
      <c r="B18" s="29"/>
      <c r="C18" s="29"/>
      <c r="D18" s="29"/>
      <c r="E18" s="29"/>
      <c r="F18" s="29"/>
      <c r="G18" s="36">
        <f>B9*35.705*10</f>
        <v>0</v>
      </c>
    </row>
    <row r="19" spans="1:7" ht="16.5" customHeight="1" hidden="1">
      <c r="A19" s="29" t="s">
        <v>85</v>
      </c>
      <c r="B19" s="29"/>
      <c r="C19" s="29"/>
      <c r="D19" s="29"/>
      <c r="E19" s="29"/>
      <c r="F19" s="29"/>
      <c r="G19" s="36">
        <f>B12*0.3613*10</f>
        <v>0</v>
      </c>
    </row>
    <row r="20" spans="1:7" ht="16.5">
      <c r="A20" s="29" t="s">
        <v>33</v>
      </c>
      <c r="B20" s="29"/>
      <c r="C20" s="29"/>
      <c r="D20" s="29"/>
      <c r="E20" s="29"/>
      <c r="F20" s="29"/>
      <c r="G20" s="30">
        <f>(B11*12.84/100*189)+(C11*9.63/100*113)+(D11*32.11/100*71)+(E11*2.41/100*12)</f>
        <v>71691.0767</v>
      </c>
    </row>
    <row r="21" spans="1:7" ht="17.2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24578.867087427825</v>
      </c>
    </row>
    <row r="22" spans="1:7" ht="16.5">
      <c r="A22" s="29" t="s">
        <v>35</v>
      </c>
      <c r="B22" s="29"/>
      <c r="C22" s="29"/>
      <c r="D22" s="29"/>
      <c r="E22" s="29"/>
      <c r="F22" s="29"/>
      <c r="G22" s="36">
        <f>D13*0.135*6</f>
        <v>1029.348</v>
      </c>
    </row>
    <row r="23" spans="1:7" ht="16.5">
      <c r="A23" s="29" t="s">
        <v>36</v>
      </c>
      <c r="B23" s="29"/>
      <c r="C23" s="29"/>
      <c r="D23" s="29"/>
      <c r="E23" s="29"/>
      <c r="F23" s="29"/>
      <c r="G23" s="36">
        <f>114.94+4274.55+4274.55+1264.39+4626.43</f>
        <v>14554.86</v>
      </c>
    </row>
    <row r="24" spans="1:7" ht="16.5">
      <c r="A24" s="29" t="s">
        <v>37</v>
      </c>
      <c r="B24" s="29"/>
      <c r="C24" s="29"/>
      <c r="D24" s="29"/>
      <c r="E24" s="29"/>
      <c r="F24" s="29"/>
      <c r="G24" s="36">
        <f>B3*0.885*12</f>
        <v>37040.436</v>
      </c>
    </row>
    <row r="25" spans="1:7" ht="16.5" hidden="1">
      <c r="A25" s="29" t="s">
        <v>38</v>
      </c>
      <c r="B25" s="29"/>
      <c r="C25" s="29"/>
      <c r="D25" s="29"/>
      <c r="E25" s="29"/>
      <c r="F25" s="29"/>
      <c r="G25" s="36">
        <v>0</v>
      </c>
    </row>
    <row r="26" spans="1:7" ht="16.5" hidden="1">
      <c r="A26" s="29" t="s">
        <v>39</v>
      </c>
      <c r="B26" s="29"/>
      <c r="C26" s="29"/>
      <c r="D26" s="29"/>
      <c r="E26" s="29"/>
      <c r="F26" s="29"/>
      <c r="G26" s="36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6">
        <v>0</v>
      </c>
    </row>
    <row r="28" spans="1:7" ht="16.5">
      <c r="A28" s="29" t="s">
        <v>41</v>
      </c>
      <c r="B28" s="29"/>
      <c r="C28" s="29"/>
      <c r="D28" s="29"/>
      <c r="E28" s="29"/>
      <c r="F28" s="29"/>
      <c r="G28" s="36">
        <v>7511.08</v>
      </c>
    </row>
    <row r="29" spans="1:7" ht="16.5" hidden="1">
      <c r="A29" s="29" t="s">
        <v>42</v>
      </c>
      <c r="B29" s="29"/>
      <c r="C29" s="29"/>
      <c r="D29" s="29"/>
      <c r="E29" s="29"/>
      <c r="F29" s="29"/>
      <c r="G29" s="36">
        <v>0</v>
      </c>
    </row>
    <row r="30" spans="1:7" ht="16.5" hidden="1">
      <c r="A30" s="29" t="s">
        <v>43</v>
      </c>
      <c r="B30" s="29"/>
      <c r="C30" s="29"/>
      <c r="D30" s="29"/>
      <c r="E30" s="29"/>
      <c r="F30" s="29"/>
      <c r="G30" s="36">
        <v>0</v>
      </c>
    </row>
    <row r="31" spans="1:7" ht="16.5" customHeight="1" hidden="1">
      <c r="A31" s="29" t="s">
        <v>44</v>
      </c>
      <c r="B31" s="29"/>
      <c r="C31" s="29"/>
      <c r="D31" s="29"/>
      <c r="E31" s="29"/>
      <c r="F31" s="29"/>
      <c r="G31" s="36">
        <v>0</v>
      </c>
    </row>
    <row r="32" spans="1:7" ht="16.5">
      <c r="A32" s="29" t="s">
        <v>45</v>
      </c>
      <c r="B32" s="29"/>
      <c r="C32" s="29"/>
      <c r="D32" s="29"/>
      <c r="E32" s="29"/>
      <c r="F32" s="29"/>
      <c r="G32" s="36">
        <f>B3*1.81*6+B3*1.86*6</f>
        <v>76801.356</v>
      </c>
    </row>
    <row r="33" spans="1:7" ht="17.25" customHeight="1">
      <c r="A33" s="31" t="s">
        <v>46</v>
      </c>
      <c r="B33" s="31"/>
      <c r="C33" s="31"/>
      <c r="D33" s="31"/>
      <c r="E33" s="31"/>
      <c r="F33" s="31"/>
      <c r="G33" s="36">
        <f>(F15*4*8.57)+(B15*2*3.14)+(C15*1*3.14)+(D15*1*3.14)</f>
        <v>3059</v>
      </c>
    </row>
    <row r="34" spans="1:7" ht="16.5">
      <c r="A34" s="29" t="s">
        <v>47</v>
      </c>
      <c r="B34" s="29"/>
      <c r="C34" s="29"/>
      <c r="D34" s="29"/>
      <c r="E34" s="29"/>
      <c r="F34" s="29"/>
      <c r="G34" s="36">
        <f>B3*0.65*12</f>
        <v>27204.840000000004</v>
      </c>
    </row>
    <row r="35" spans="1:7" ht="16.5">
      <c r="A35" s="29" t="s">
        <v>48</v>
      </c>
      <c r="B35" s="29"/>
      <c r="C35" s="29"/>
      <c r="D35" s="29"/>
      <c r="E35" s="29"/>
      <c r="F35" s="29"/>
      <c r="G35" s="36">
        <f>B3*0.82*12</f>
        <v>34319.952000000005</v>
      </c>
    </row>
    <row r="36" spans="1:7" ht="16.5" customHeight="1">
      <c r="A36" s="29" t="s">
        <v>49</v>
      </c>
      <c r="B36" s="29"/>
      <c r="C36" s="29"/>
      <c r="D36" s="29"/>
      <c r="E36" s="29"/>
      <c r="F36" s="29"/>
      <c r="G36" s="36">
        <f>B3*0.9*12</f>
        <v>37668.240000000005</v>
      </c>
    </row>
    <row r="37" spans="1:7" ht="16.5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365258.85018742783</v>
      </c>
    </row>
    <row r="38" spans="1:7" ht="17.2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6.5" hidden="1">
      <c r="A39" s="29" t="s">
        <v>52</v>
      </c>
      <c r="B39" s="29"/>
      <c r="C39" s="29"/>
      <c r="D39" s="29"/>
      <c r="E39" s="29"/>
      <c r="F39" s="29"/>
      <c r="G39" s="36">
        <f>B3*2.96*12</f>
        <v>123886.65600000002</v>
      </c>
    </row>
    <row r="40" spans="1:7" ht="16.5">
      <c r="A40" s="29" t="s">
        <v>53</v>
      </c>
      <c r="B40" s="29"/>
      <c r="C40" s="29"/>
      <c r="D40" s="29"/>
      <c r="E40" s="29"/>
      <c r="F40" s="29"/>
      <c r="G40" s="36"/>
    </row>
    <row r="41" spans="1:7" ht="16.5">
      <c r="A41" s="37" t="s">
        <v>54</v>
      </c>
      <c r="B41" s="37"/>
      <c r="C41" s="37"/>
      <c r="D41" s="37"/>
      <c r="E41" s="37"/>
      <c r="F41" s="37"/>
      <c r="G41" s="67">
        <f>1865.99+1987.15</f>
        <v>3853.1400000000003</v>
      </c>
    </row>
    <row r="42" spans="1:7" ht="16.5">
      <c r="A42" s="37" t="s">
        <v>55</v>
      </c>
      <c r="B42" s="37"/>
      <c r="C42" s="37"/>
      <c r="D42" s="37"/>
      <c r="E42" s="37"/>
      <c r="F42" s="37"/>
      <c r="G42" s="68"/>
    </row>
    <row r="43" spans="1:7" ht="16.5" hidden="1">
      <c r="A43" s="37" t="s">
        <v>56</v>
      </c>
      <c r="B43" s="37"/>
      <c r="C43" s="37"/>
      <c r="D43" s="37"/>
      <c r="E43" s="37"/>
      <c r="F43" s="37"/>
      <c r="G43" s="68"/>
    </row>
    <row r="44" spans="1:7" ht="16.5" hidden="1">
      <c r="A44" s="37" t="s">
        <v>57</v>
      </c>
      <c r="B44" s="37"/>
      <c r="C44" s="37"/>
      <c r="D44" s="37"/>
      <c r="E44" s="37"/>
      <c r="F44" s="37"/>
      <c r="G44" s="68"/>
    </row>
    <row r="45" spans="1:7" ht="16.5">
      <c r="A45" s="37" t="s">
        <v>58</v>
      </c>
      <c r="B45" s="37"/>
      <c r="C45" s="37"/>
      <c r="D45" s="37"/>
      <c r="E45" s="37"/>
      <c r="F45" s="37"/>
      <c r="G45" s="68">
        <f>14755.96+15478.08+14805.48+14577.14</f>
        <v>59616.66</v>
      </c>
    </row>
    <row r="46" spans="1:7" ht="16.5">
      <c r="A46" s="37" t="s">
        <v>59</v>
      </c>
      <c r="B46" s="37"/>
      <c r="C46" s="37"/>
      <c r="D46" s="37"/>
      <c r="E46" s="37"/>
      <c r="F46" s="37"/>
      <c r="G46" s="68"/>
    </row>
    <row r="47" spans="1:7" ht="16.5">
      <c r="A47" s="37" t="s">
        <v>60</v>
      </c>
      <c r="B47" s="37"/>
      <c r="C47" s="37"/>
      <c r="D47" s="37"/>
      <c r="E47" s="37"/>
      <c r="F47" s="37"/>
      <c r="G47" s="68">
        <v>42.08</v>
      </c>
    </row>
    <row r="48" spans="1:7" ht="16.5">
      <c r="A48" s="37" t="s">
        <v>61</v>
      </c>
      <c r="B48" s="37"/>
      <c r="C48" s="37"/>
      <c r="D48" s="37"/>
      <c r="E48" s="37"/>
      <c r="F48" s="37"/>
      <c r="G48" s="68">
        <v>13230.29</v>
      </c>
    </row>
    <row r="49" spans="1:7" ht="16.5">
      <c r="A49" s="37" t="s">
        <v>62</v>
      </c>
      <c r="B49" s="37"/>
      <c r="C49" s="37"/>
      <c r="D49" s="37"/>
      <c r="E49" s="37"/>
      <c r="F49" s="37"/>
      <c r="G49" s="69">
        <v>13472.06</v>
      </c>
    </row>
    <row r="50" spans="1:7" ht="16.5">
      <c r="A50" s="37" t="s">
        <v>172</v>
      </c>
      <c r="B50" s="37"/>
      <c r="C50" s="37"/>
      <c r="D50" s="37"/>
      <c r="E50" s="37"/>
      <c r="F50" s="37"/>
      <c r="G50" s="69">
        <f>1014.42+1014.42+1014.42+3333.11+1014.42+2173.77+4492.44+5941.63+2173.77+1014.42+6231.46</f>
        <v>29418.28</v>
      </c>
    </row>
    <row r="51" spans="1:7" ht="16.5" hidden="1">
      <c r="A51" s="37" t="s">
        <v>64</v>
      </c>
      <c r="B51" s="37"/>
      <c r="C51" s="37"/>
      <c r="D51" s="37"/>
      <c r="E51" s="37"/>
      <c r="F51" s="37"/>
      <c r="G51" s="70"/>
    </row>
    <row r="52" spans="1:7" ht="16.5">
      <c r="A52" s="37" t="s">
        <v>65</v>
      </c>
      <c r="B52" s="37"/>
      <c r="C52" s="37"/>
      <c r="D52" s="37"/>
      <c r="E52" s="37"/>
      <c r="F52" s="37"/>
      <c r="G52" s="69">
        <v>35892</v>
      </c>
    </row>
    <row r="53" spans="1:7" ht="16.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6.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8.75" customHeight="1">
      <c r="A55" s="38" t="s">
        <v>68</v>
      </c>
      <c r="B55" s="38"/>
      <c r="C55" s="38"/>
      <c r="D55" s="38"/>
      <c r="E55" s="38"/>
      <c r="F55" s="38"/>
      <c r="G55" s="39">
        <f>'М.Ключи,1'!G41+G42+G43+G44+G45+G46+G47+G48+'М.Ключи,1'!G49+'М.Ключи,1'!G50+G51+'М.Ключи,1'!G52+G53+G54</f>
        <v>145491.32</v>
      </c>
    </row>
    <row r="56" spans="1:7" ht="17.25" customHeight="1">
      <c r="A56" s="38" t="s">
        <v>69</v>
      </c>
      <c r="B56" s="38"/>
      <c r="C56" s="38"/>
      <c r="D56" s="38"/>
      <c r="E56" s="38"/>
      <c r="F56" s="38"/>
      <c r="G56" s="39">
        <f>G37+G55</f>
        <v>510750.17018742784</v>
      </c>
    </row>
    <row r="57" spans="1:7" ht="16.5">
      <c r="A57" s="29" t="s">
        <v>70</v>
      </c>
      <c r="B57" s="29"/>
      <c r="C57" s="29"/>
      <c r="D57" s="29"/>
      <c r="E57" s="29"/>
      <c r="F57" s="29"/>
      <c r="G57" s="36">
        <f>-770.93-1613.86-2965.83-2761.12-2958.84-511.32</f>
        <v>-11581.9</v>
      </c>
    </row>
    <row r="58" spans="1:7" ht="16.5" customHeight="1">
      <c r="A58" s="40" t="s">
        <v>147</v>
      </c>
      <c r="B58" s="40"/>
      <c r="C58" s="40"/>
      <c r="D58" s="40"/>
      <c r="E58" s="40"/>
      <c r="F58" s="40"/>
      <c r="G58" s="39">
        <f>B3*B4*4+B3*B5*2+B3*B6*5+B3*1*B7+G59</f>
        <v>488148.89400000003</v>
      </c>
    </row>
    <row r="59" spans="1:7" ht="16.5">
      <c r="A59" s="41" t="s">
        <v>144</v>
      </c>
      <c r="B59" s="41"/>
      <c r="C59" s="41"/>
      <c r="D59" s="41"/>
      <c r="E59" s="41"/>
      <c r="F59" s="41"/>
      <c r="G59" s="39">
        <f>141.6*1*12+215.6*1*12</f>
        <v>4286.4</v>
      </c>
    </row>
    <row r="60" spans="1:7" ht="15.75" customHeight="1">
      <c r="A60" s="42" t="s">
        <v>73</v>
      </c>
      <c r="B60" s="42"/>
      <c r="C60" s="42"/>
      <c r="D60" s="42"/>
      <c r="E60" s="42"/>
      <c r="F60" s="42"/>
      <c r="G60" s="43">
        <v>40259.73</v>
      </c>
    </row>
    <row r="61" spans="1:7" ht="57.75" customHeight="1">
      <c r="A61" s="44" t="s">
        <v>174</v>
      </c>
      <c r="B61" s="44"/>
      <c r="C61" s="44"/>
      <c r="D61" s="44"/>
      <c r="E61" s="44"/>
      <c r="F61" s="44"/>
      <c r="G61" s="62">
        <f>G56-G58+G60-G57</f>
        <v>74442.90618742781</v>
      </c>
    </row>
    <row r="62" ht="16.5"/>
    <row r="63" ht="16.5"/>
    <row r="64" ht="16.5">
      <c r="A64" s="1" t="s">
        <v>75</v>
      </c>
    </row>
    <row r="83" ht="16.5"/>
    <row r="85" ht="16.5"/>
    <row r="127" ht="16.5"/>
    <row r="131" ht="16.5"/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5319444444444444" right="0" top="0.33819444444444446" bottom="0" header="0.5118055555555555" footer="0.5118055555555555"/>
  <pageSetup horizontalDpi="300" verticalDpi="300" orientation="portrait" paperSize="9" scale="95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1"/>
  </sheetPr>
  <dimension ref="A1:G65"/>
  <sheetViews>
    <sheetView zoomScale="75" zoomScaleNormal="75" workbookViewId="0" topLeftCell="A1">
      <selection activeCell="G59" sqref="G59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0.2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76</v>
      </c>
      <c r="B2" s="7" t="s">
        <v>175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78</v>
      </c>
      <c r="B3" s="10">
        <v>4400.9</v>
      </c>
      <c r="F3" s="8" t="s">
        <v>5</v>
      </c>
      <c r="G3" s="11">
        <v>6</v>
      </c>
    </row>
    <row r="4" spans="1:7" ht="18.75">
      <c r="A4" s="12" t="s">
        <v>79</v>
      </c>
      <c r="B4" s="46">
        <v>11.39</v>
      </c>
      <c r="C4" s="1" t="s">
        <v>93</v>
      </c>
      <c r="F4" s="8" t="s">
        <v>8</v>
      </c>
      <c r="G4" s="9">
        <v>1972</v>
      </c>
    </row>
    <row r="5" spans="1:7" ht="18.75">
      <c r="A5" s="12" t="s">
        <v>79</v>
      </c>
      <c r="B5" s="46">
        <v>11.54</v>
      </c>
      <c r="C5" s="1" t="s">
        <v>94</v>
      </c>
      <c r="F5" s="8"/>
      <c r="G5" s="9"/>
    </row>
    <row r="6" spans="1:7" ht="18.75">
      <c r="A6" s="12" t="s">
        <v>79</v>
      </c>
      <c r="B6" s="46">
        <v>11.59</v>
      </c>
      <c r="C6" s="1" t="s">
        <v>10</v>
      </c>
      <c r="F6" s="8"/>
      <c r="G6" s="9"/>
    </row>
    <row r="7" spans="1:3" ht="18.75">
      <c r="A7" s="12" t="s">
        <v>79</v>
      </c>
      <c r="B7" s="46">
        <v>12.14</v>
      </c>
      <c r="C7" s="1" t="s">
        <v>95</v>
      </c>
    </row>
    <row r="8" spans="1:7" ht="18.75" hidden="1">
      <c r="A8" s="15" t="s">
        <v>12</v>
      </c>
      <c r="B8" s="16">
        <v>406.4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1092</v>
      </c>
      <c r="C11" s="18">
        <v>2378</v>
      </c>
      <c r="D11" s="18">
        <v>916</v>
      </c>
      <c r="E11" s="18">
        <v>2554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783.7</v>
      </c>
      <c r="C13" s="21">
        <v>877.5</v>
      </c>
      <c r="D13" s="21">
        <f>B13+C13</f>
        <v>1661.2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90</v>
      </c>
      <c r="C15" s="25"/>
      <c r="D15" s="25">
        <v>90</v>
      </c>
      <c r="E15" s="26">
        <f>D15+C15+B15</f>
        <v>180</v>
      </c>
      <c r="F15" s="18"/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0">
        <f>B8*8.689*12</f>
        <v>42374.515199999994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0">
        <f>B9*19.03*12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0">
        <f>B12*0.4523*12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0">
        <f>(B11*12.84/100*189)+(C11*9.63/100*113)+(D11*32.11/100*71)+(E11*2.41/100*12)</f>
        <v>73999.05380000001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31013.571926446788</v>
      </c>
    </row>
    <row r="22" spans="1:7" ht="15.75">
      <c r="A22" s="29" t="s">
        <v>35</v>
      </c>
      <c r="B22" s="29"/>
      <c r="C22" s="29"/>
      <c r="D22" s="29"/>
      <c r="E22" s="29"/>
      <c r="F22" s="29"/>
      <c r="G22" s="30">
        <f>D13*0.135*6+979.62</f>
        <v>2325.192</v>
      </c>
    </row>
    <row r="23" spans="1:7" ht="15.75">
      <c r="A23" s="29" t="s">
        <v>36</v>
      </c>
      <c r="B23" s="29"/>
      <c r="C23" s="29"/>
      <c r="D23" s="29"/>
      <c r="E23" s="29"/>
      <c r="F23" s="29"/>
      <c r="G23" s="30">
        <f>114.94+5434.79+1896.59+5948.26</f>
        <v>13394.58</v>
      </c>
    </row>
    <row r="24" spans="1:7" ht="15.75">
      <c r="A24" s="29" t="s">
        <v>37</v>
      </c>
      <c r="B24" s="29"/>
      <c r="C24" s="29"/>
      <c r="D24" s="29"/>
      <c r="E24" s="29"/>
      <c r="F24" s="29"/>
      <c r="G24" s="30">
        <f>B3*0.885*12</f>
        <v>46737.558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5.75">
      <c r="A28" s="29" t="s">
        <v>41</v>
      </c>
      <c r="B28" s="29"/>
      <c r="C28" s="29"/>
      <c r="D28" s="29"/>
      <c r="E28" s="29"/>
      <c r="F28" s="29"/>
      <c r="G28" s="30">
        <v>7511.08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0">
        <f>B3*1.81*6+B3*1.86*6</f>
        <v>96907.818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847.8000000000001</v>
      </c>
    </row>
    <row r="34" spans="1:7" ht="15.75">
      <c r="A34" s="29" t="s">
        <v>47</v>
      </c>
      <c r="B34" s="29"/>
      <c r="C34" s="29"/>
      <c r="D34" s="29"/>
      <c r="E34" s="29"/>
      <c r="F34" s="29"/>
      <c r="G34" s="30">
        <f>B3*0.65*12</f>
        <v>34327.020000000004</v>
      </c>
    </row>
    <row r="35" spans="1:7" ht="15.75">
      <c r="A35" s="29" t="s">
        <v>48</v>
      </c>
      <c r="B35" s="29"/>
      <c r="C35" s="29"/>
      <c r="D35" s="29"/>
      <c r="E35" s="29"/>
      <c r="F35" s="29"/>
      <c r="G35" s="30">
        <f>B3*0.82*12</f>
        <v>43304.856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B3*0.95*12</f>
        <v>50170.259999999995</v>
      </c>
    </row>
    <row r="37" spans="1:7" ht="15.7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442913.30492644676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5.75" hidden="1">
      <c r="A39" s="29" t="s">
        <v>52</v>
      </c>
      <c r="B39" s="29"/>
      <c r="C39" s="29"/>
      <c r="D39" s="29"/>
      <c r="E39" s="29"/>
      <c r="F39" s="29"/>
      <c r="G39" s="30">
        <f>B3*3.47*2</f>
        <v>30542.246</v>
      </c>
    </row>
    <row r="40" spans="1:7" ht="15.75">
      <c r="A40" s="29" t="s">
        <v>53</v>
      </c>
      <c r="B40" s="29"/>
      <c r="C40" s="29"/>
      <c r="D40" s="29"/>
      <c r="E40" s="29"/>
      <c r="F40" s="29"/>
      <c r="G40" s="30"/>
    </row>
    <row r="41" spans="1:7" ht="15.75">
      <c r="A41" s="37" t="s">
        <v>54</v>
      </c>
      <c r="B41" s="37"/>
      <c r="C41" s="37"/>
      <c r="D41" s="37"/>
      <c r="E41" s="37"/>
      <c r="F41" s="37"/>
      <c r="G41" s="30"/>
    </row>
    <row r="42" spans="1:7" ht="17.25">
      <c r="A42" s="37" t="s">
        <v>55</v>
      </c>
      <c r="B42" s="37"/>
      <c r="C42" s="37"/>
      <c r="D42" s="37"/>
      <c r="E42" s="37"/>
      <c r="F42" s="37"/>
      <c r="G42" s="30"/>
    </row>
    <row r="43" spans="1:7" ht="17.25">
      <c r="A43" s="37" t="s">
        <v>56</v>
      </c>
      <c r="B43" s="37"/>
      <c r="C43" s="37"/>
      <c r="D43" s="37"/>
      <c r="E43" s="37"/>
      <c r="F43" s="37"/>
      <c r="G43" s="30"/>
    </row>
    <row r="44" spans="1:7" ht="16.5" hidden="1">
      <c r="A44" s="37" t="s">
        <v>57</v>
      </c>
      <c r="B44" s="37"/>
      <c r="C44" s="37"/>
      <c r="D44" s="37"/>
      <c r="E44" s="37"/>
      <c r="F44" s="37"/>
      <c r="G44" s="30"/>
    </row>
    <row r="45" spans="1:7" ht="16.5" hidden="1">
      <c r="A45" s="37" t="s">
        <v>58</v>
      </c>
      <c r="B45" s="37"/>
      <c r="C45" s="37"/>
      <c r="D45" s="37"/>
      <c r="E45" s="37"/>
      <c r="F45" s="37"/>
      <c r="G45" s="30"/>
    </row>
    <row r="46" spans="1:7" ht="16.5" hidden="1">
      <c r="A46" s="37" t="s">
        <v>59</v>
      </c>
      <c r="B46" s="37"/>
      <c r="C46" s="37"/>
      <c r="D46" s="37"/>
      <c r="E46" s="37"/>
      <c r="F46" s="37"/>
      <c r="G46" s="30"/>
    </row>
    <row r="47" spans="1:7" ht="16.5">
      <c r="A47" s="37" t="s">
        <v>60</v>
      </c>
      <c r="B47" s="37"/>
      <c r="C47" s="37"/>
      <c r="D47" s="37"/>
      <c r="E47" s="37"/>
      <c r="F47" s="37"/>
      <c r="G47" s="30">
        <v>42.08</v>
      </c>
    </row>
    <row r="48" spans="1:7" ht="16.5">
      <c r="A48" s="37" t="s">
        <v>61</v>
      </c>
      <c r="B48" s="37"/>
      <c r="C48" s="37"/>
      <c r="D48" s="37"/>
      <c r="E48" s="37"/>
      <c r="F48" s="37"/>
      <c r="G48" s="30">
        <f>2190.61+1680.04+3150.07</f>
        <v>7020.72</v>
      </c>
    </row>
    <row r="49" spans="1:7" ht="17.25">
      <c r="A49" s="37" t="s">
        <v>62</v>
      </c>
      <c r="B49" s="37"/>
      <c r="C49" s="37"/>
      <c r="D49" s="37"/>
      <c r="E49" s="37"/>
      <c r="F49" s="37"/>
      <c r="G49" s="30">
        <v>1924.19</v>
      </c>
    </row>
    <row r="50" spans="1:7" ht="17.25" hidden="1">
      <c r="A50" s="37" t="s">
        <v>176</v>
      </c>
      <c r="B50" s="37"/>
      <c r="C50" s="37"/>
      <c r="D50" s="37"/>
      <c r="E50" s="37"/>
      <c r="F50" s="37"/>
      <c r="G50" s="30"/>
    </row>
    <row r="51" spans="1:7" ht="17.25" hidden="1">
      <c r="A51" s="37" t="s">
        <v>64</v>
      </c>
      <c r="B51" s="37"/>
      <c r="C51" s="37"/>
      <c r="D51" s="37"/>
      <c r="E51" s="37"/>
      <c r="F51" s="37"/>
      <c r="G51" s="30"/>
    </row>
    <row r="52" spans="1:7" ht="17.25">
      <c r="A52" s="37" t="s">
        <v>65</v>
      </c>
      <c r="B52" s="37"/>
      <c r="C52" s="37"/>
      <c r="D52" s="37"/>
      <c r="E52" s="37"/>
      <c r="F52" s="37"/>
      <c r="G52" s="30">
        <v>55512.96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64499.95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4">
        <f>G37+G55</f>
        <v>507413.25492644677</v>
      </c>
    </row>
    <row r="57" spans="1:7" ht="15.75">
      <c r="A57" s="29" t="s">
        <v>70</v>
      </c>
      <c r="B57" s="29"/>
      <c r="C57" s="29"/>
      <c r="D57" s="29"/>
      <c r="E57" s="29"/>
      <c r="F57" s="29"/>
      <c r="G57" s="30">
        <v>0</v>
      </c>
    </row>
    <row r="58" spans="1:7" ht="16.5" customHeight="1">
      <c r="A58" s="40" t="s">
        <v>147</v>
      </c>
      <c r="B58" s="40"/>
      <c r="C58" s="40"/>
      <c r="D58" s="40"/>
      <c r="E58" s="40"/>
      <c r="F58" s="40"/>
      <c r="G58" s="39">
        <f>B3*B4*4+B3*B5*2+B3*B6*5+B3*1*B7+G59</f>
        <v>620852.0569999998</v>
      </c>
    </row>
    <row r="59" spans="1:7" ht="15.75">
      <c r="A59" s="41" t="s">
        <v>144</v>
      </c>
      <c r="B59" s="41"/>
      <c r="C59" s="41"/>
      <c r="D59" s="41"/>
      <c r="E59" s="41"/>
      <c r="F59" s="41"/>
      <c r="G59" s="34">
        <f>180*12*1+141.6*1*12+269*2*12</f>
        <v>10315.2</v>
      </c>
    </row>
    <row r="60" spans="1:7" ht="15.75" customHeight="1">
      <c r="A60" s="42" t="s">
        <v>73</v>
      </c>
      <c r="B60" s="42"/>
      <c r="C60" s="42"/>
      <c r="D60" s="42"/>
      <c r="E60" s="42"/>
      <c r="F60" s="42"/>
      <c r="G60" s="47">
        <v>40913.97</v>
      </c>
    </row>
    <row r="61" spans="1:7" ht="68.25" customHeight="1">
      <c r="A61" s="44" t="s">
        <v>110</v>
      </c>
      <c r="B61" s="44"/>
      <c r="C61" s="44"/>
      <c r="D61" s="44"/>
      <c r="E61" s="44"/>
      <c r="F61" s="44"/>
      <c r="G61" s="48">
        <f>G56-G58-G57+G60</f>
        <v>-72524.83207355303</v>
      </c>
    </row>
    <row r="65" ht="15.7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1"/>
  </sheetPr>
  <dimension ref="A1:G66"/>
  <sheetViews>
    <sheetView zoomScale="75" zoomScaleNormal="75" workbookViewId="0" topLeftCell="A1">
      <selection activeCell="C4" sqref="C4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7.71093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4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76</v>
      </c>
      <c r="B2" s="7" t="s">
        <v>177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78</v>
      </c>
      <c r="B3" s="10">
        <v>4400.5</v>
      </c>
      <c r="F3" s="8" t="s">
        <v>5</v>
      </c>
      <c r="G3" s="11">
        <v>6</v>
      </c>
    </row>
    <row r="4" spans="1:7" ht="18.75">
      <c r="A4" s="12" t="s">
        <v>79</v>
      </c>
      <c r="B4" s="46">
        <v>11.39</v>
      </c>
      <c r="C4" s="1" t="s">
        <v>93</v>
      </c>
      <c r="F4" s="8" t="s">
        <v>8</v>
      </c>
      <c r="G4" s="9">
        <v>1974</v>
      </c>
    </row>
    <row r="5" spans="1:7" ht="18.75">
      <c r="A5" s="12" t="s">
        <v>79</v>
      </c>
      <c r="B5" s="46">
        <v>11.54</v>
      </c>
      <c r="C5" s="1" t="s">
        <v>94</v>
      </c>
      <c r="F5" s="8"/>
      <c r="G5" s="9"/>
    </row>
    <row r="6" spans="1:7" ht="18.75">
      <c r="A6" s="12" t="s">
        <v>79</v>
      </c>
      <c r="B6" s="46">
        <v>11.59</v>
      </c>
      <c r="C6" s="1" t="s">
        <v>10</v>
      </c>
      <c r="F6" s="8"/>
      <c r="G6" s="9"/>
    </row>
    <row r="7" spans="1:3" ht="18.75">
      <c r="A7" s="12" t="s">
        <v>79</v>
      </c>
      <c r="B7" s="46">
        <v>12.14</v>
      </c>
      <c r="C7" s="1" t="s">
        <v>95</v>
      </c>
    </row>
    <row r="8" spans="1:7" ht="18.75" hidden="1">
      <c r="A8" s="15" t="s">
        <v>12</v>
      </c>
      <c r="B8" s="16">
        <v>411.6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782</v>
      </c>
      <c r="C11" s="18">
        <v>2862</v>
      </c>
      <c r="D11" s="18">
        <v>695</v>
      </c>
      <c r="E11" s="18">
        <v>2949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900.8</v>
      </c>
      <c r="C13" s="21">
        <v>880.1</v>
      </c>
      <c r="D13" s="21">
        <f>B13+C13</f>
        <v>1780.9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90</v>
      </c>
      <c r="C15" s="25"/>
      <c r="D15" s="25">
        <v>90</v>
      </c>
      <c r="E15" s="26">
        <f>D15+C15+B15</f>
        <v>180</v>
      </c>
      <c r="F15" s="18"/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0">
        <f>B8*8.689*12</f>
        <v>42916.7088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0">
        <f>B9*19.03*12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0">
        <f>B12*0.4523*12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0">
        <f>(B11*12.84/100*189)+(C11*9.63/100*113)+(D11*32.11/100*71)+(E11*2.41/100*12)</f>
        <v>66818.7913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31010.75308739783</v>
      </c>
    </row>
    <row r="22" spans="1:7" ht="15.75">
      <c r="A22" s="29" t="s">
        <v>35</v>
      </c>
      <c r="B22" s="29"/>
      <c r="C22" s="29"/>
      <c r="D22" s="29"/>
      <c r="E22" s="29"/>
      <c r="F22" s="29"/>
      <c r="G22" s="30">
        <f>D13*0.135*6</f>
        <v>1442.5290000000002</v>
      </c>
    </row>
    <row r="23" spans="1:7" ht="15.75">
      <c r="A23" s="29" t="s">
        <v>36</v>
      </c>
      <c r="B23" s="29"/>
      <c r="C23" s="29"/>
      <c r="D23" s="29"/>
      <c r="E23" s="29"/>
      <c r="F23" s="29"/>
      <c r="G23" s="30">
        <f>114.94+5495.85+1896.59+5948.26</f>
        <v>13455.64</v>
      </c>
    </row>
    <row r="24" spans="1:7" ht="15.75">
      <c r="A24" s="29" t="s">
        <v>37</v>
      </c>
      <c r="B24" s="29"/>
      <c r="C24" s="29"/>
      <c r="D24" s="29"/>
      <c r="E24" s="29"/>
      <c r="F24" s="29"/>
      <c r="G24" s="30">
        <f>B3*0.885*12</f>
        <v>46733.31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5.75">
      <c r="A28" s="29" t="s">
        <v>41</v>
      </c>
      <c r="B28" s="29"/>
      <c r="C28" s="29"/>
      <c r="D28" s="29"/>
      <c r="E28" s="29"/>
      <c r="F28" s="29"/>
      <c r="G28" s="30">
        <v>7511.08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0">
        <f>B3*1.81*6+B3*1.86*6</f>
        <v>96899.01000000001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847.8000000000001</v>
      </c>
    </row>
    <row r="34" spans="1:7" ht="15.75">
      <c r="A34" s="29" t="s">
        <v>47</v>
      </c>
      <c r="B34" s="29"/>
      <c r="C34" s="29"/>
      <c r="D34" s="29"/>
      <c r="E34" s="29"/>
      <c r="F34" s="29"/>
      <c r="G34" s="30">
        <f>B3*0.65*12</f>
        <v>34323.9</v>
      </c>
    </row>
    <row r="35" spans="1:7" ht="15.75">
      <c r="A35" s="29" t="s">
        <v>48</v>
      </c>
      <c r="B35" s="29"/>
      <c r="C35" s="29"/>
      <c r="D35" s="29"/>
      <c r="E35" s="29"/>
      <c r="F35" s="29"/>
      <c r="G35" s="30">
        <f>B3*0.82*12</f>
        <v>43300.920000000006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B3*0.95*12</f>
        <v>50165.700000000004</v>
      </c>
    </row>
    <row r="37" spans="1:7" ht="15.7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435426.14218739787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5.75" hidden="1">
      <c r="A39" s="29" t="s">
        <v>52</v>
      </c>
      <c r="B39" s="29"/>
      <c r="C39" s="29"/>
      <c r="D39" s="29"/>
      <c r="E39" s="29"/>
      <c r="F39" s="29"/>
      <c r="G39" s="30">
        <f>B3*3.47*2</f>
        <v>30539.47</v>
      </c>
    </row>
    <row r="40" spans="1:7" ht="15.75">
      <c r="A40" s="29" t="s">
        <v>53</v>
      </c>
      <c r="B40" s="29"/>
      <c r="C40" s="29"/>
      <c r="D40" s="29"/>
      <c r="E40" s="29"/>
      <c r="F40" s="29"/>
      <c r="G40" s="30"/>
    </row>
    <row r="41" spans="1:7" ht="15.75" hidden="1">
      <c r="A41" s="37" t="s">
        <v>54</v>
      </c>
      <c r="B41" s="37"/>
      <c r="C41" s="37"/>
      <c r="D41" s="37"/>
      <c r="E41" s="37"/>
      <c r="F41" s="37"/>
      <c r="G41" s="30"/>
    </row>
    <row r="42" spans="1:7" ht="15.75" hidden="1">
      <c r="A42" s="37" t="s">
        <v>55</v>
      </c>
      <c r="B42" s="37"/>
      <c r="C42" s="37"/>
      <c r="D42" s="37"/>
      <c r="E42" s="37"/>
      <c r="F42" s="37"/>
      <c r="G42" s="30"/>
    </row>
    <row r="43" spans="1:7" ht="15.75" hidden="1">
      <c r="A43" s="37" t="s">
        <v>56</v>
      </c>
      <c r="B43" s="37"/>
      <c r="C43" s="37"/>
      <c r="D43" s="37"/>
      <c r="E43" s="37"/>
      <c r="F43" s="37"/>
      <c r="G43" s="30"/>
    </row>
    <row r="44" spans="1:7" ht="17.25">
      <c r="A44" s="37" t="s">
        <v>57</v>
      </c>
      <c r="B44" s="37"/>
      <c r="C44" s="37"/>
      <c r="D44" s="37"/>
      <c r="E44" s="37"/>
      <c r="F44" s="37"/>
      <c r="G44" s="30"/>
    </row>
    <row r="45" spans="1:7" ht="17.25">
      <c r="A45" s="37" t="s">
        <v>176</v>
      </c>
      <c r="B45" s="37"/>
      <c r="C45" s="37"/>
      <c r="D45" s="37"/>
      <c r="E45" s="37"/>
      <c r="F45" s="37"/>
      <c r="G45" s="30"/>
    </row>
    <row r="46" spans="1:7" ht="17.25">
      <c r="A46" s="37" t="s">
        <v>59</v>
      </c>
      <c r="B46" s="37"/>
      <c r="C46" s="37"/>
      <c r="D46" s="37"/>
      <c r="E46" s="37"/>
      <c r="F46" s="37"/>
      <c r="G46" s="30">
        <f>1235.63+774.79</f>
        <v>2010.42</v>
      </c>
    </row>
    <row r="47" spans="1:7" ht="16.5">
      <c r="A47" s="37" t="s">
        <v>60</v>
      </c>
      <c r="B47" s="37"/>
      <c r="C47" s="37"/>
      <c r="D47" s="37"/>
      <c r="E47" s="37"/>
      <c r="F47" s="37"/>
      <c r="G47" s="30">
        <f>42.08+42.07+903.63</f>
        <v>987.78</v>
      </c>
    </row>
    <row r="48" spans="1:7" ht="16.5">
      <c r="A48" s="37" t="s">
        <v>61</v>
      </c>
      <c r="B48" s="37"/>
      <c r="C48" s="37"/>
      <c r="D48" s="37"/>
      <c r="E48" s="37"/>
      <c r="F48" s="37"/>
      <c r="G48" s="30">
        <f>1590.18+2386.86+3150.07+5040.11+3150.07+3150.07+3150.07</f>
        <v>21617.43</v>
      </c>
    </row>
    <row r="49" spans="1:7" ht="17.25">
      <c r="A49" s="37" t="s">
        <v>62</v>
      </c>
      <c r="B49" s="37"/>
      <c r="C49" s="37"/>
      <c r="D49" s="37"/>
      <c r="E49" s="37"/>
      <c r="F49" s="37"/>
      <c r="G49" s="30">
        <v>2401.56</v>
      </c>
    </row>
    <row r="50" spans="1:7" ht="17.25" hidden="1">
      <c r="A50" s="37" t="s">
        <v>63</v>
      </c>
      <c r="B50" s="37"/>
      <c r="C50" s="37"/>
      <c r="D50" s="37"/>
      <c r="E50" s="37"/>
      <c r="F50" s="37"/>
      <c r="G50" s="30"/>
    </row>
    <row r="51" spans="1:7" ht="17.25" hidden="1">
      <c r="A51" s="37" t="s">
        <v>64</v>
      </c>
      <c r="B51" s="37"/>
      <c r="C51" s="37"/>
      <c r="D51" s="37"/>
      <c r="E51" s="37"/>
      <c r="F51" s="37"/>
      <c r="G51" s="30"/>
    </row>
    <row r="52" spans="1:7" ht="17.25">
      <c r="A52" s="37" t="s">
        <v>65</v>
      </c>
      <c r="B52" s="37"/>
      <c r="C52" s="37"/>
      <c r="D52" s="37"/>
      <c r="E52" s="37"/>
      <c r="F52" s="37"/>
      <c r="G52" s="30">
        <v>51684.48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78701.67000000001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4">
        <f>G37+G55</f>
        <v>514127.81218739785</v>
      </c>
    </row>
    <row r="57" spans="1:7" ht="15.75">
      <c r="A57" s="29" t="s">
        <v>70</v>
      </c>
      <c r="B57" s="29"/>
      <c r="C57" s="29"/>
      <c r="D57" s="29"/>
      <c r="E57" s="29"/>
      <c r="F57" s="29"/>
      <c r="G57" s="30">
        <v>0</v>
      </c>
    </row>
    <row r="58" spans="1:7" ht="16.5" customHeight="1">
      <c r="A58" s="40" t="s">
        <v>147</v>
      </c>
      <c r="B58" s="40"/>
      <c r="C58" s="40"/>
      <c r="D58" s="40"/>
      <c r="E58" s="40"/>
      <c r="F58" s="40"/>
      <c r="G58" s="39">
        <f>B3*B4*4+B3*B5*2+B3*B6*5+B3*1*B7+G59</f>
        <v>620796.5649999998</v>
      </c>
    </row>
    <row r="59" spans="1:7" ht="16.5">
      <c r="A59" s="41" t="s">
        <v>144</v>
      </c>
      <c r="B59" s="41"/>
      <c r="C59" s="41"/>
      <c r="D59" s="41"/>
      <c r="E59" s="41"/>
      <c r="F59" s="41"/>
      <c r="G59" s="34">
        <f>180*12*1+141.6*1*12+269*2*12</f>
        <v>10315.2</v>
      </c>
    </row>
    <row r="60" spans="1:7" ht="18" customHeight="1">
      <c r="A60" s="42" t="s">
        <v>73</v>
      </c>
      <c r="B60" s="42"/>
      <c r="C60" s="42"/>
      <c r="D60" s="42"/>
      <c r="E60" s="42"/>
      <c r="F60" s="42"/>
      <c r="G60" s="43">
        <v>42654.81</v>
      </c>
    </row>
    <row r="61" spans="1:7" ht="57.75" customHeight="1">
      <c r="A61" s="44" t="s">
        <v>114</v>
      </c>
      <c r="B61" s="44"/>
      <c r="C61" s="44"/>
      <c r="D61" s="44"/>
      <c r="E61" s="44"/>
      <c r="F61" s="44"/>
      <c r="G61" s="45">
        <f>G56-G58-G57+G60</f>
        <v>-64013.94281260198</v>
      </c>
    </row>
    <row r="66" ht="15.75">
      <c r="A66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19652777777777777" right="0" top="0" bottom="0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G64"/>
  <sheetViews>
    <sheetView zoomScale="75" zoomScaleNormal="75" workbookViewId="0" topLeftCell="A1">
      <selection activeCell="C4" sqref="C4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6.71093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60" customHeight="1">
      <c r="A1" s="5" t="s">
        <v>91</v>
      </c>
      <c r="B1" s="5"/>
      <c r="C1" s="5"/>
      <c r="D1" s="5"/>
      <c r="E1" s="5"/>
      <c r="F1" s="5"/>
      <c r="G1" s="5"/>
    </row>
    <row r="2" spans="1:7" ht="19.5">
      <c r="A2" s="6" t="s">
        <v>1</v>
      </c>
      <c r="B2" s="7" t="s">
        <v>99</v>
      </c>
      <c r="C2" s="7"/>
      <c r="D2" s="7"/>
      <c r="E2" s="7"/>
      <c r="F2" s="8" t="s">
        <v>3</v>
      </c>
      <c r="G2" s="9">
        <v>5</v>
      </c>
    </row>
    <row r="3" spans="1:7" ht="19.5">
      <c r="A3" s="6" t="s">
        <v>4</v>
      </c>
      <c r="B3" s="10">
        <v>4372.5</v>
      </c>
      <c r="F3" s="8" t="s">
        <v>5</v>
      </c>
      <c r="G3" s="11">
        <v>6</v>
      </c>
    </row>
    <row r="4" spans="1:7" ht="18.75">
      <c r="A4" s="12" t="s">
        <v>6</v>
      </c>
      <c r="B4" s="13">
        <v>9.59</v>
      </c>
      <c r="C4" s="1" t="s">
        <v>93</v>
      </c>
      <c r="F4" s="8" t="s">
        <v>8</v>
      </c>
      <c r="G4" s="9">
        <v>1974</v>
      </c>
    </row>
    <row r="5" spans="1:7" ht="18.75">
      <c r="A5" s="12" t="s">
        <v>6</v>
      </c>
      <c r="B5" s="13">
        <v>9.74</v>
      </c>
      <c r="C5" s="1" t="s">
        <v>94</v>
      </c>
      <c r="F5" s="8"/>
      <c r="G5" s="9"/>
    </row>
    <row r="6" spans="1:7" ht="18.75">
      <c r="A6" s="12" t="s">
        <v>6</v>
      </c>
      <c r="B6" s="13">
        <v>9.79</v>
      </c>
      <c r="C6" s="1" t="s">
        <v>10</v>
      </c>
      <c r="F6" s="8"/>
      <c r="G6" s="9"/>
    </row>
    <row r="7" spans="1:3" ht="18.75">
      <c r="A7" s="12" t="s">
        <v>6</v>
      </c>
      <c r="B7" s="13">
        <v>10.21</v>
      </c>
      <c r="C7" s="1" t="s">
        <v>95</v>
      </c>
    </row>
    <row r="8" spans="1:7" ht="18" hidden="1">
      <c r="A8" s="15" t="s">
        <v>12</v>
      </c>
      <c r="B8" s="16">
        <v>413.6</v>
      </c>
      <c r="C8" s="17"/>
      <c r="D8" s="17"/>
      <c r="E8" s="17"/>
      <c r="F8" s="17"/>
      <c r="G8" s="17"/>
    </row>
    <row r="9" spans="1:7" ht="18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33.7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9.5" hidden="1">
      <c r="A11" s="15"/>
      <c r="B11" s="18">
        <v>1031</v>
      </c>
      <c r="C11" s="18">
        <v>2659</v>
      </c>
      <c r="D11" s="18">
        <v>682</v>
      </c>
      <c r="E11" s="18">
        <v>2659</v>
      </c>
      <c r="F11" s="17"/>
      <c r="G11" s="17"/>
    </row>
    <row r="12" spans="1:7" ht="19.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" hidden="1">
      <c r="A13" s="15" t="s">
        <v>21</v>
      </c>
      <c r="B13" s="21">
        <v>873.8</v>
      </c>
      <c r="C13" s="21">
        <v>865.1</v>
      </c>
      <c r="D13" s="21">
        <f>B13+C13</f>
        <v>1738.9</v>
      </c>
      <c r="E13" s="17"/>
      <c r="F13" s="17"/>
      <c r="G13" s="17"/>
    </row>
    <row r="14" spans="1:7" ht="45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9.5" hidden="1">
      <c r="A15" s="24"/>
      <c r="B15" s="25">
        <v>90</v>
      </c>
      <c r="C15" s="25"/>
      <c r="D15" s="25">
        <v>90</v>
      </c>
      <c r="E15" s="26">
        <f>D15+C15+B15</f>
        <v>180</v>
      </c>
      <c r="F15" s="18"/>
      <c r="G15" s="17"/>
    </row>
    <row r="16" spans="1:7" ht="17.2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7.25">
      <c r="A17" s="29" t="s">
        <v>30</v>
      </c>
      <c r="B17" s="29"/>
      <c r="C17" s="29"/>
      <c r="D17" s="29"/>
      <c r="E17" s="29"/>
      <c r="F17" s="29"/>
      <c r="G17" s="30">
        <f>B8*7.012*12</f>
        <v>34801.9584</v>
      </c>
    </row>
    <row r="18" spans="1:7" ht="17.25" hidden="1">
      <c r="A18" s="29" t="s">
        <v>31</v>
      </c>
      <c r="B18" s="29"/>
      <c r="C18" s="29"/>
      <c r="D18" s="29"/>
      <c r="E18" s="29"/>
      <c r="F18" s="29"/>
      <c r="G18" s="30">
        <f>B9*35.705*12</f>
        <v>0</v>
      </c>
    </row>
    <row r="19" spans="1:7" ht="17.25" customHeight="1" hidden="1">
      <c r="A19" s="29" t="s">
        <v>85</v>
      </c>
      <c r="B19" s="29"/>
      <c r="C19" s="29"/>
      <c r="D19" s="29"/>
      <c r="E19" s="29"/>
      <c r="F19" s="29"/>
      <c r="G19" s="30">
        <f>B12*0.3613*12</f>
        <v>0</v>
      </c>
    </row>
    <row r="20" spans="1:7" ht="17.25">
      <c r="A20" s="29" t="s">
        <v>33</v>
      </c>
      <c r="B20" s="29"/>
      <c r="C20" s="29"/>
      <c r="D20" s="29"/>
      <c r="E20" s="29"/>
      <c r="F20" s="29"/>
      <c r="G20" s="30">
        <f>(B11*9.46/100*189)+(C11*7.09/100*113)+(D11*23.66/100*71)+(E11*1.77/100*12)</f>
        <v>51758.1885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30813.434353970457</v>
      </c>
    </row>
    <row r="22" spans="1:7" ht="17.25">
      <c r="A22" s="29" t="s">
        <v>35</v>
      </c>
      <c r="B22" s="29"/>
      <c r="C22" s="29"/>
      <c r="D22" s="29"/>
      <c r="E22" s="29"/>
      <c r="F22" s="29"/>
      <c r="G22" s="30">
        <f>D13*0.135*6</f>
        <v>1408.509</v>
      </c>
    </row>
    <row r="23" spans="1:7" ht="17.25">
      <c r="A23" s="29" t="s">
        <v>36</v>
      </c>
      <c r="B23" s="29"/>
      <c r="C23" s="29"/>
      <c r="D23" s="29"/>
      <c r="E23" s="29"/>
      <c r="F23" s="29"/>
      <c r="G23" s="30">
        <f>114.94+5495.85+1099.17+474.15+5948.26</f>
        <v>13132.369999999999</v>
      </c>
    </row>
    <row r="24" spans="1:7" ht="17.25">
      <c r="A24" s="29" t="s">
        <v>37</v>
      </c>
      <c r="B24" s="29"/>
      <c r="C24" s="29"/>
      <c r="D24" s="29"/>
      <c r="E24" s="29"/>
      <c r="F24" s="29"/>
      <c r="G24" s="30">
        <f>B3*0.885*12</f>
        <v>46435.95</v>
      </c>
    </row>
    <row r="25" spans="1:7" ht="17.2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7.2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7.2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7.25">
      <c r="A28" s="29" t="s">
        <v>41</v>
      </c>
      <c r="B28" s="29"/>
      <c r="C28" s="29"/>
      <c r="D28" s="29"/>
      <c r="E28" s="29"/>
      <c r="F28" s="29"/>
      <c r="G28" s="30">
        <f>4224+3017.52+808.68</f>
        <v>8050.200000000001</v>
      </c>
    </row>
    <row r="29" spans="1:7" ht="17.2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7.2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7.2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7.25">
      <c r="A32" s="29" t="s">
        <v>45</v>
      </c>
      <c r="B32" s="29"/>
      <c r="C32" s="29"/>
      <c r="D32" s="29"/>
      <c r="E32" s="29"/>
      <c r="F32" s="29"/>
      <c r="G32" s="30">
        <f>B3*1.81*6+B3*1.86*6</f>
        <v>96282.45000000001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847.8000000000001</v>
      </c>
    </row>
    <row r="34" spans="1:7" ht="17.25">
      <c r="A34" s="29" t="s">
        <v>47</v>
      </c>
      <c r="B34" s="29"/>
      <c r="C34" s="29"/>
      <c r="D34" s="29"/>
      <c r="E34" s="29"/>
      <c r="F34" s="29"/>
      <c r="G34" s="30">
        <f>B3*0.65*12</f>
        <v>34105.5</v>
      </c>
    </row>
    <row r="35" spans="1:7" ht="17.25">
      <c r="A35" s="29" t="s">
        <v>48</v>
      </c>
      <c r="B35" s="29"/>
      <c r="C35" s="29"/>
      <c r="D35" s="29"/>
      <c r="E35" s="29"/>
      <c r="F35" s="29"/>
      <c r="G35" s="30">
        <f>B3*0.82*12</f>
        <v>43025.4</v>
      </c>
    </row>
    <row r="36" spans="1:7" ht="17.25" customHeight="1">
      <c r="A36" s="29" t="s">
        <v>49</v>
      </c>
      <c r="B36" s="29"/>
      <c r="C36" s="29"/>
      <c r="D36" s="29"/>
      <c r="E36" s="29"/>
      <c r="F36" s="29"/>
      <c r="G36" s="30">
        <f>B3*0.9*12</f>
        <v>47223</v>
      </c>
    </row>
    <row r="37" spans="1:7" ht="17.2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407884.7602539705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7.25" hidden="1">
      <c r="A39" s="29" t="s">
        <v>52</v>
      </c>
      <c r="B39" s="29"/>
      <c r="C39" s="29"/>
      <c r="D39" s="29"/>
      <c r="E39" s="29"/>
      <c r="F39" s="29"/>
      <c r="G39" s="30">
        <f>B3*2.96*12</f>
        <v>155311.2</v>
      </c>
    </row>
    <row r="40" spans="1:7" ht="17.25">
      <c r="A40" s="29" t="s">
        <v>53</v>
      </c>
      <c r="B40" s="29"/>
      <c r="C40" s="29"/>
      <c r="D40" s="29"/>
      <c r="E40" s="29"/>
      <c r="F40" s="29"/>
      <c r="G40" s="30"/>
    </row>
    <row r="41" spans="1:7" ht="17.25">
      <c r="A41" s="37" t="s">
        <v>54</v>
      </c>
      <c r="B41" s="37"/>
      <c r="C41" s="37"/>
      <c r="D41" s="37"/>
      <c r="E41" s="37"/>
      <c r="F41" s="37"/>
      <c r="G41" s="30"/>
    </row>
    <row r="42" spans="1:7" ht="17.25">
      <c r="A42" s="37" t="s">
        <v>55</v>
      </c>
      <c r="B42" s="37"/>
      <c r="C42" s="37"/>
      <c r="D42" s="37"/>
      <c r="E42" s="37"/>
      <c r="F42" s="37"/>
      <c r="G42" s="30">
        <f>1993.94+3966.04</f>
        <v>5959.98</v>
      </c>
    </row>
    <row r="43" spans="1:7" ht="17.25" hidden="1">
      <c r="A43" s="37" t="s">
        <v>56</v>
      </c>
      <c r="B43" s="37"/>
      <c r="C43" s="37"/>
      <c r="D43" s="37"/>
      <c r="E43" s="37"/>
      <c r="F43" s="37"/>
      <c r="G43" s="30"/>
    </row>
    <row r="44" spans="1:7" ht="16.5" hidden="1">
      <c r="A44" s="37" t="s">
        <v>57</v>
      </c>
      <c r="B44" s="37"/>
      <c r="C44" s="37"/>
      <c r="D44" s="37"/>
      <c r="E44" s="37"/>
      <c r="F44" s="37"/>
      <c r="G44" s="30"/>
    </row>
    <row r="45" spans="1:7" ht="16.5" hidden="1">
      <c r="A45" s="37" t="s">
        <v>58</v>
      </c>
      <c r="B45" s="37"/>
      <c r="C45" s="37"/>
      <c r="D45" s="37"/>
      <c r="E45" s="37"/>
      <c r="F45" s="37"/>
      <c r="G45" s="30"/>
    </row>
    <row r="46" spans="1:7" ht="16.5">
      <c r="A46" s="37" t="s">
        <v>59</v>
      </c>
      <c r="B46" s="37"/>
      <c r="C46" s="37"/>
      <c r="D46" s="37"/>
      <c r="E46" s="37"/>
      <c r="F46" s="37"/>
      <c r="G46" s="30">
        <v>3991.55</v>
      </c>
    </row>
    <row r="47" spans="1:7" ht="16.5">
      <c r="A47" s="37" t="s">
        <v>60</v>
      </c>
      <c r="B47" s="37"/>
      <c r="C47" s="37"/>
      <c r="D47" s="37"/>
      <c r="E47" s="37"/>
      <c r="F47" s="37"/>
      <c r="G47" s="30">
        <f>42.08+978.76</f>
        <v>1020.84</v>
      </c>
    </row>
    <row r="48" spans="1:7" ht="16.5">
      <c r="A48" s="37" t="s">
        <v>61</v>
      </c>
      <c r="B48" s="37"/>
      <c r="C48" s="37"/>
      <c r="D48" s="37"/>
      <c r="E48" s="37"/>
      <c r="F48" s="37"/>
      <c r="G48" s="30">
        <v>2520.06</v>
      </c>
    </row>
    <row r="49" spans="1:7" ht="16.5">
      <c r="A49" s="37" t="s">
        <v>62</v>
      </c>
      <c r="B49" s="37"/>
      <c r="C49" s="37"/>
      <c r="D49" s="37"/>
      <c r="E49" s="37"/>
      <c r="F49" s="37"/>
      <c r="G49" s="30">
        <v>815.43</v>
      </c>
    </row>
    <row r="50" spans="1:7" ht="16.5" hidden="1">
      <c r="A50" s="37" t="s">
        <v>63</v>
      </c>
      <c r="B50" s="37"/>
      <c r="C50" s="37"/>
      <c r="D50" s="37"/>
      <c r="E50" s="37"/>
      <c r="F50" s="37"/>
      <c r="G50" s="30"/>
    </row>
    <row r="51" spans="1:7" ht="16.5">
      <c r="A51" s="37" t="s">
        <v>64</v>
      </c>
      <c r="B51" s="37"/>
      <c r="C51" s="37"/>
      <c r="D51" s="37"/>
      <c r="E51" s="37"/>
      <c r="F51" s="37"/>
      <c r="G51" s="30">
        <v>7414.34</v>
      </c>
    </row>
    <row r="52" spans="1:7" ht="17.25">
      <c r="A52" s="37" t="s">
        <v>65</v>
      </c>
      <c r="B52" s="37"/>
      <c r="C52" s="37"/>
      <c r="D52" s="37"/>
      <c r="E52" s="37"/>
      <c r="F52" s="37"/>
      <c r="G52" s="30">
        <v>28431.48</v>
      </c>
    </row>
    <row r="53" spans="1:7" ht="17.2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7.2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50153.67999999999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4">
        <f>G37+G55</f>
        <v>458038.4402539705</v>
      </c>
    </row>
    <row r="57" spans="1:7" ht="17.25">
      <c r="A57" s="29" t="s">
        <v>70</v>
      </c>
      <c r="B57" s="29"/>
      <c r="C57" s="29"/>
      <c r="D57" s="29"/>
      <c r="E57" s="29"/>
      <c r="F57" s="29"/>
      <c r="G57" s="30">
        <f>-1823.19-753.53-2552.31</f>
        <v>-5129.030000000001</v>
      </c>
    </row>
    <row r="58" spans="1:7" ht="17.25" customHeight="1">
      <c r="A58" s="40" t="s">
        <v>100</v>
      </c>
      <c r="B58" s="40"/>
      <c r="C58" s="40"/>
      <c r="D58" s="40"/>
      <c r="E58" s="40"/>
      <c r="F58" s="40"/>
      <c r="G58" s="34">
        <f>B3*B4*4+B3*B5*2+B3*B6*5+B3*B7*1+G59</f>
        <v>513281.7</v>
      </c>
    </row>
    <row r="59" spans="1:7" ht="17.25">
      <c r="A59" s="41" t="s">
        <v>89</v>
      </c>
      <c r="B59" s="41"/>
      <c r="C59" s="41"/>
      <c r="D59" s="41"/>
      <c r="E59" s="41"/>
      <c r="F59" s="41"/>
      <c r="G59" s="34">
        <f>1*141.6*12</f>
        <v>1699.1999999999998</v>
      </c>
    </row>
    <row r="60" spans="1:7" ht="17.25" customHeight="1">
      <c r="A60" s="42" t="s">
        <v>73</v>
      </c>
      <c r="B60" s="42"/>
      <c r="C60" s="42"/>
      <c r="D60" s="42"/>
      <c r="E60" s="42"/>
      <c r="F60" s="42"/>
      <c r="G60" s="47">
        <v>38138.42</v>
      </c>
    </row>
    <row r="61" spans="1:7" ht="54.75" customHeight="1">
      <c r="A61" s="44" t="s">
        <v>90</v>
      </c>
      <c r="B61" s="44"/>
      <c r="C61" s="44"/>
      <c r="D61" s="44"/>
      <c r="E61" s="44"/>
      <c r="F61" s="44"/>
      <c r="G61" s="48">
        <f>G56-G58+G60-G57</f>
        <v>-11975.809746029508</v>
      </c>
    </row>
    <row r="64" ht="17.25">
      <c r="A64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19652777777777777" right="0" top="0" bottom="0" header="0.5118055555555555" footer="0.5118055555555555"/>
  <pageSetup horizontalDpi="300" verticalDpi="300" orientation="portrait" paperSize="9" scale="95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1"/>
  </sheetPr>
  <dimension ref="A1:G66"/>
  <sheetViews>
    <sheetView zoomScale="75" zoomScaleNormal="75" workbookViewId="0" topLeftCell="A1">
      <selection activeCell="G21" sqref="G21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48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76</v>
      </c>
      <c r="B2" s="7" t="s">
        <v>178</v>
      </c>
      <c r="C2" s="7"/>
      <c r="D2" s="7"/>
      <c r="E2" s="7"/>
      <c r="F2" s="8" t="s">
        <v>3</v>
      </c>
      <c r="G2" s="9">
        <v>12</v>
      </c>
    </row>
    <row r="3" spans="1:7" ht="18.75">
      <c r="A3" s="6" t="s">
        <v>78</v>
      </c>
      <c r="B3" s="10">
        <v>3966.7</v>
      </c>
      <c r="F3" s="8" t="s">
        <v>5</v>
      </c>
      <c r="G3" s="11">
        <v>1</v>
      </c>
    </row>
    <row r="4" spans="1:7" ht="18.75">
      <c r="A4" s="12" t="s">
        <v>79</v>
      </c>
      <c r="B4" s="46">
        <v>14.53</v>
      </c>
      <c r="C4" s="1" t="s">
        <v>179</v>
      </c>
      <c r="F4" s="8" t="s">
        <v>8</v>
      </c>
      <c r="G4" s="9">
        <v>1982</v>
      </c>
    </row>
    <row r="5" spans="1:7" ht="18.75">
      <c r="A5" s="12" t="s">
        <v>79</v>
      </c>
      <c r="B5" s="46">
        <v>14.58</v>
      </c>
      <c r="C5" s="1" t="s">
        <v>10</v>
      </c>
      <c r="F5" s="8"/>
      <c r="G5" s="9"/>
    </row>
    <row r="6" spans="1:7" ht="18.75" hidden="1">
      <c r="A6" s="12" t="s">
        <v>79</v>
      </c>
      <c r="B6" s="46"/>
      <c r="C6" s="1" t="s">
        <v>95</v>
      </c>
      <c r="F6" s="8"/>
      <c r="G6" s="9"/>
    </row>
    <row r="7" spans="1:3" ht="18.75">
      <c r="A7" s="12" t="s">
        <v>79</v>
      </c>
      <c r="B7" s="46">
        <v>15.28</v>
      </c>
      <c r="C7" s="1" t="s">
        <v>180</v>
      </c>
    </row>
    <row r="8" spans="1:7" ht="18.75" hidden="1">
      <c r="A8" s="15" t="s">
        <v>12</v>
      </c>
      <c r="B8" s="16">
        <v>617.4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3.36</v>
      </c>
      <c r="C9" s="17" t="s">
        <v>82</v>
      </c>
      <c r="D9" s="17">
        <v>2</v>
      </c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1428</v>
      </c>
      <c r="C11" s="18">
        <v>1529</v>
      </c>
      <c r="D11" s="18">
        <v>1298</v>
      </c>
      <c r="E11" s="18">
        <v>1659</v>
      </c>
      <c r="F11" s="17"/>
      <c r="G11" s="17"/>
    </row>
    <row r="12" spans="1:7" ht="18.75" hidden="1">
      <c r="A12" s="15" t="s">
        <v>19</v>
      </c>
      <c r="B12" s="21">
        <v>0</v>
      </c>
      <c r="C12" s="17" t="s">
        <v>137</v>
      </c>
      <c r="D12" s="17"/>
      <c r="E12" s="17"/>
      <c r="F12" s="17"/>
      <c r="G12" s="17"/>
    </row>
    <row r="13" spans="1:7" ht="18.75" hidden="1">
      <c r="A13" s="15" t="s">
        <v>21</v>
      </c>
      <c r="B13" s="21">
        <v>482.9</v>
      </c>
      <c r="C13" s="21">
        <v>322.9</v>
      </c>
      <c r="D13" s="21">
        <f>B13+C13</f>
        <v>805.8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83</v>
      </c>
      <c r="C15" s="25"/>
      <c r="D15" s="25">
        <v>83</v>
      </c>
      <c r="E15" s="26">
        <f>D15+C15+B15</f>
        <v>166</v>
      </c>
      <c r="F15" s="18"/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6">
        <f>B8*8.689*12</f>
        <v>64375.063200000004</v>
      </c>
    </row>
    <row r="18" spans="1:7" ht="15.75">
      <c r="A18" s="29" t="s">
        <v>31</v>
      </c>
      <c r="B18" s="29"/>
      <c r="C18" s="29"/>
      <c r="D18" s="29"/>
      <c r="E18" s="29"/>
      <c r="F18" s="29"/>
      <c r="G18" s="36">
        <f>B9*19.029*12</f>
        <v>767.24928</v>
      </c>
    </row>
    <row r="19" spans="1:7" ht="15.75" customHeight="1">
      <c r="A19" s="29" t="s">
        <v>85</v>
      </c>
      <c r="B19" s="29"/>
      <c r="C19" s="29"/>
      <c r="D19" s="29"/>
      <c r="E19" s="29"/>
      <c r="F19" s="29"/>
      <c r="G19" s="36">
        <f>B12*0.4522*12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6">
        <f>(B11*12.84/100*189)+(C11*9.63/100*113)+(D11*32.11/100*71)+(E11*2.41/100*12)</f>
        <v>81364.2745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27953.722138798083</v>
      </c>
    </row>
    <row r="22" spans="1:7" ht="15.75">
      <c r="A22" s="29" t="s">
        <v>35</v>
      </c>
      <c r="B22" s="29"/>
      <c r="C22" s="29"/>
      <c r="D22" s="29"/>
      <c r="E22" s="29"/>
      <c r="F22" s="29"/>
      <c r="G22" s="36">
        <f>D13*0.135*6</f>
        <v>652.698</v>
      </c>
    </row>
    <row r="23" spans="1:7" ht="15.75" hidden="1">
      <c r="A23" s="29" t="s">
        <v>36</v>
      </c>
      <c r="B23" s="29"/>
      <c r="C23" s="29"/>
      <c r="D23" s="29"/>
      <c r="E23" s="29"/>
      <c r="F23" s="29"/>
      <c r="G23" s="36">
        <v>0</v>
      </c>
    </row>
    <row r="24" spans="1:7" ht="15.75">
      <c r="A24" s="29" t="s">
        <v>37</v>
      </c>
      <c r="B24" s="29"/>
      <c r="C24" s="29"/>
      <c r="D24" s="29"/>
      <c r="E24" s="29"/>
      <c r="F24" s="29"/>
      <c r="G24" s="36">
        <f>B3*0.885*12</f>
        <v>42126.354</v>
      </c>
    </row>
    <row r="25" spans="1:7" ht="15.75">
      <c r="A25" s="29" t="s">
        <v>38</v>
      </c>
      <c r="B25" s="29"/>
      <c r="C25" s="29"/>
      <c r="D25" s="29"/>
      <c r="E25" s="29"/>
      <c r="F25" s="29"/>
      <c r="G25" s="36">
        <f>B3*2.648*4+B3*2.245*8</f>
        <v>113257.2184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6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6">
        <f>2*403</f>
        <v>806</v>
      </c>
    </row>
    <row r="28" spans="1:7" ht="15.75">
      <c r="A28" s="29" t="s">
        <v>41</v>
      </c>
      <c r="B28" s="29"/>
      <c r="C28" s="29"/>
      <c r="D28" s="29"/>
      <c r="E28" s="29"/>
      <c r="F28" s="29"/>
      <c r="G28" s="36">
        <v>7511.08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6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6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6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6">
        <f>B3*1.81*6+B3*1.86*6</f>
        <v>87346.734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6">
        <f>(F15*4*8.57)+(B15*2*3.14)+(C15*1*3.14)+(D15*1*3.14)</f>
        <v>781.86</v>
      </c>
    </row>
    <row r="34" spans="1:7" ht="15.75">
      <c r="A34" s="29" t="s">
        <v>47</v>
      </c>
      <c r="B34" s="29"/>
      <c r="C34" s="29"/>
      <c r="D34" s="29"/>
      <c r="E34" s="29"/>
      <c r="F34" s="29"/>
      <c r="G34" s="36">
        <f>B3*0.65*12</f>
        <v>30940.260000000002</v>
      </c>
    </row>
    <row r="35" spans="1:7" ht="15.75">
      <c r="A35" s="29" t="s">
        <v>48</v>
      </c>
      <c r="B35" s="29"/>
      <c r="C35" s="29"/>
      <c r="D35" s="29"/>
      <c r="E35" s="29"/>
      <c r="F35" s="29"/>
      <c r="G35" s="36">
        <f>B3*0.82*12</f>
        <v>39032.328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6">
        <f>B3*0.95*12</f>
        <v>45220.380000000005</v>
      </c>
    </row>
    <row r="37" spans="1:7" ht="15.75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542135.221518798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5.75" hidden="1">
      <c r="A39" s="29" t="s">
        <v>52</v>
      </c>
      <c r="B39" s="29"/>
      <c r="C39" s="29"/>
      <c r="D39" s="29"/>
      <c r="E39" s="29"/>
      <c r="F39" s="29"/>
      <c r="G39" s="36">
        <f>B3*3.47*12</f>
        <v>165173.388</v>
      </c>
    </row>
    <row r="40" spans="1:7" ht="15.75">
      <c r="A40" s="29" t="s">
        <v>53</v>
      </c>
      <c r="B40" s="29"/>
      <c r="C40" s="29"/>
      <c r="D40" s="29"/>
      <c r="E40" s="29"/>
      <c r="F40" s="29"/>
      <c r="G40" s="36"/>
    </row>
    <row r="41" spans="1:7" ht="17.25">
      <c r="A41" s="37" t="s">
        <v>54</v>
      </c>
      <c r="B41" s="37"/>
      <c r="C41" s="37"/>
      <c r="D41" s="37"/>
      <c r="E41" s="37"/>
      <c r="F41" s="37"/>
      <c r="G41" s="36">
        <v>728.02</v>
      </c>
    </row>
    <row r="42" spans="1:7" ht="17.25">
      <c r="A42" s="37" t="s">
        <v>55</v>
      </c>
      <c r="B42" s="37"/>
      <c r="C42" s="37"/>
      <c r="D42" s="37"/>
      <c r="E42" s="37"/>
      <c r="F42" s="37"/>
      <c r="G42" s="36">
        <v>6700.58</v>
      </c>
    </row>
    <row r="43" spans="1:7" ht="17.25">
      <c r="A43" s="37" t="s">
        <v>56</v>
      </c>
      <c r="B43" s="37"/>
      <c r="C43" s="37"/>
      <c r="D43" s="37"/>
      <c r="E43" s="37"/>
      <c r="F43" s="37"/>
      <c r="G43" s="36">
        <v>1504.61</v>
      </c>
    </row>
    <row r="44" spans="1:7" ht="17.25" hidden="1">
      <c r="A44" s="37" t="s">
        <v>57</v>
      </c>
      <c r="B44" s="37"/>
      <c r="C44" s="37"/>
      <c r="D44" s="37"/>
      <c r="E44" s="37"/>
      <c r="F44" s="37"/>
      <c r="G44" s="36"/>
    </row>
    <row r="45" spans="1:7" ht="17.25" hidden="1">
      <c r="A45" s="37" t="s">
        <v>63</v>
      </c>
      <c r="B45" s="37"/>
      <c r="C45" s="37"/>
      <c r="D45" s="37"/>
      <c r="E45" s="37"/>
      <c r="F45" s="37"/>
      <c r="G45" s="36"/>
    </row>
    <row r="46" spans="1:7" ht="17.25">
      <c r="A46" s="37" t="s">
        <v>59</v>
      </c>
      <c r="B46" s="37"/>
      <c r="C46" s="37"/>
      <c r="D46" s="37"/>
      <c r="E46" s="37"/>
      <c r="F46" s="37"/>
      <c r="G46" s="36">
        <v>229.86</v>
      </c>
    </row>
    <row r="47" spans="1:7" ht="16.5">
      <c r="A47" s="37" t="s">
        <v>60</v>
      </c>
      <c r="B47" s="37"/>
      <c r="C47" s="37"/>
      <c r="D47" s="37"/>
      <c r="E47" s="37"/>
      <c r="F47" s="37"/>
      <c r="G47" s="36">
        <f>42.09+550.52+2422.96</f>
        <v>3015.57</v>
      </c>
    </row>
    <row r="48" spans="1:7" ht="16.5">
      <c r="A48" s="37" t="s">
        <v>61</v>
      </c>
      <c r="B48" s="37"/>
      <c r="C48" s="37"/>
      <c r="D48" s="37"/>
      <c r="E48" s="37"/>
      <c r="F48" s="37"/>
      <c r="G48" s="36">
        <v>5758.51</v>
      </c>
    </row>
    <row r="49" spans="1:7" ht="16.5" hidden="1">
      <c r="A49" s="37" t="s">
        <v>62</v>
      </c>
      <c r="B49" s="37"/>
      <c r="C49" s="37"/>
      <c r="D49" s="37"/>
      <c r="E49" s="37"/>
      <c r="F49" s="37"/>
      <c r="G49" s="36"/>
    </row>
    <row r="50" spans="1:7" ht="16.5" hidden="1">
      <c r="A50" s="37" t="s">
        <v>176</v>
      </c>
      <c r="B50" s="37"/>
      <c r="C50" s="37"/>
      <c r="D50" s="37"/>
      <c r="E50" s="37"/>
      <c r="F50" s="37"/>
      <c r="G50" s="36"/>
    </row>
    <row r="51" spans="1:7" ht="16.5" hidden="1">
      <c r="A51" s="37" t="s">
        <v>64</v>
      </c>
      <c r="B51" s="37"/>
      <c r="C51" s="37"/>
      <c r="D51" s="37"/>
      <c r="E51" s="37"/>
      <c r="F51" s="37"/>
      <c r="G51" s="36"/>
    </row>
    <row r="52" spans="1:7" ht="17.25">
      <c r="A52" s="37" t="s">
        <v>65</v>
      </c>
      <c r="B52" s="37"/>
      <c r="C52" s="37"/>
      <c r="D52" s="37"/>
      <c r="E52" s="37"/>
      <c r="F52" s="37"/>
      <c r="G52" s="36">
        <v>38284.8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56221.950000000004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598357.171518798</v>
      </c>
    </row>
    <row r="57" spans="1:7" ht="15.75">
      <c r="A57" s="29" t="s">
        <v>70</v>
      </c>
      <c r="B57" s="29"/>
      <c r="C57" s="29"/>
      <c r="D57" s="29"/>
      <c r="E57" s="29"/>
      <c r="F57" s="29"/>
      <c r="G57" s="36">
        <v>0</v>
      </c>
    </row>
    <row r="58" spans="1:7" ht="16.5" customHeight="1">
      <c r="A58" s="40" t="s">
        <v>147</v>
      </c>
      <c r="B58" s="40"/>
      <c r="C58" s="40"/>
      <c r="D58" s="40"/>
      <c r="E58" s="40"/>
      <c r="F58" s="40"/>
      <c r="G58" s="39">
        <f>B3*B4*6+B3*B5*5+B3*1*B7+G59</f>
        <v>702687.7119999998</v>
      </c>
    </row>
    <row r="59" spans="1:7" ht="16.5">
      <c r="A59" s="41" t="s">
        <v>144</v>
      </c>
      <c r="B59" s="41"/>
      <c r="C59" s="41"/>
      <c r="D59" s="41"/>
      <c r="E59" s="41"/>
      <c r="F59" s="41"/>
      <c r="G59" s="34">
        <f>180*12*1+141.6*1*12+269*1*12</f>
        <v>7087.2</v>
      </c>
    </row>
    <row r="60" spans="1:7" ht="15.75" customHeight="1">
      <c r="A60" s="42" t="s">
        <v>73</v>
      </c>
      <c r="B60" s="42"/>
      <c r="C60" s="42"/>
      <c r="D60" s="42"/>
      <c r="E60" s="42"/>
      <c r="F60" s="42"/>
      <c r="G60" s="43">
        <v>79091.11</v>
      </c>
    </row>
    <row r="61" spans="1:7" ht="65.25" customHeight="1">
      <c r="A61" s="44" t="s">
        <v>114</v>
      </c>
      <c r="B61" s="44"/>
      <c r="C61" s="44"/>
      <c r="D61" s="44"/>
      <c r="E61" s="44"/>
      <c r="F61" s="44"/>
      <c r="G61" s="45">
        <f>G56-G58-G57+G60</f>
        <v>-25239.430481201838</v>
      </c>
    </row>
    <row r="66" ht="15.75">
      <c r="A66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1"/>
  </sheetPr>
  <dimension ref="A1:G65"/>
  <sheetViews>
    <sheetView zoomScale="75" zoomScaleNormal="75" workbookViewId="0" topLeftCell="A1">
      <selection activeCell="G60" sqref="G60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2812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3.2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181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2227.4</v>
      </c>
      <c r="F3" s="8" t="s">
        <v>5</v>
      </c>
      <c r="G3" s="11">
        <v>3</v>
      </c>
    </row>
    <row r="4" spans="1:7" ht="18.75">
      <c r="A4" s="12" t="s">
        <v>6</v>
      </c>
      <c r="B4" s="46">
        <v>11.39</v>
      </c>
      <c r="C4" s="1" t="s">
        <v>93</v>
      </c>
      <c r="F4" s="8" t="s">
        <v>8</v>
      </c>
      <c r="G4" s="9">
        <v>1972</v>
      </c>
    </row>
    <row r="5" spans="1:7" ht="18.75">
      <c r="A5" s="12" t="s">
        <v>6</v>
      </c>
      <c r="B5" s="46">
        <v>11.54</v>
      </c>
      <c r="C5" s="1" t="s">
        <v>94</v>
      </c>
      <c r="F5" s="8"/>
      <c r="G5" s="9"/>
    </row>
    <row r="6" spans="1:7" ht="18.75">
      <c r="A6" s="12" t="s">
        <v>6</v>
      </c>
      <c r="B6" s="46">
        <v>11.59</v>
      </c>
      <c r="C6" s="1" t="s">
        <v>10</v>
      </c>
      <c r="F6" s="8"/>
      <c r="G6" s="9"/>
    </row>
    <row r="7" spans="1:3" ht="18.75">
      <c r="A7" s="12" t="s">
        <v>6</v>
      </c>
      <c r="B7" s="46">
        <v>12.14</v>
      </c>
      <c r="C7" s="1" t="s">
        <v>95</v>
      </c>
    </row>
    <row r="8" spans="1:7" ht="18.75" hidden="1">
      <c r="A8" s="15" t="s">
        <v>12</v>
      </c>
      <c r="B8" s="16">
        <v>215.9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864</v>
      </c>
      <c r="C11" s="18">
        <v>1007</v>
      </c>
      <c r="D11" s="18">
        <v>798</v>
      </c>
      <c r="E11" s="18">
        <v>1073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331.8</v>
      </c>
      <c r="C13" s="21">
        <v>445.5</v>
      </c>
      <c r="D13" s="21">
        <f>B13+C13</f>
        <v>777.3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44</v>
      </c>
      <c r="C15" s="25"/>
      <c r="D15" s="25">
        <v>44</v>
      </c>
      <c r="E15" s="26">
        <f>D15+C15+B15</f>
        <v>88</v>
      </c>
      <c r="F15" s="18"/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0">
        <f>B8*8.689*12</f>
        <v>22511.4612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0">
        <f>B9*35.705*12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0">
        <f>B12*0.3613*12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0">
        <f>(B11*12.84/100*189)+(C11*9.63/100*113)+(D11*32.11/100*71)+(E11*2.41/100*12)</f>
        <v>50428.475099999996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15696.705244147239</v>
      </c>
    </row>
    <row r="22" spans="1:7" ht="15.75">
      <c r="A22" s="29" t="s">
        <v>35</v>
      </c>
      <c r="B22" s="29"/>
      <c r="C22" s="29"/>
      <c r="D22" s="29"/>
      <c r="E22" s="29"/>
      <c r="F22" s="29"/>
      <c r="G22" s="30">
        <f>D13*0.135*6</f>
        <v>629.613</v>
      </c>
    </row>
    <row r="23" spans="1:7" ht="15.75">
      <c r="A23" s="29" t="s">
        <v>36</v>
      </c>
      <c r="B23" s="29"/>
      <c r="C23" s="29"/>
      <c r="D23" s="29"/>
      <c r="E23" s="29"/>
      <c r="F23" s="29"/>
      <c r="G23" s="30">
        <f>114.94+2686.86+1185.37+3965.51</f>
        <v>7952.68</v>
      </c>
    </row>
    <row r="24" spans="1:7" ht="15.75">
      <c r="A24" s="29" t="s">
        <v>37</v>
      </c>
      <c r="B24" s="29"/>
      <c r="C24" s="29"/>
      <c r="D24" s="29"/>
      <c r="E24" s="29"/>
      <c r="F24" s="29"/>
      <c r="G24" s="30">
        <f>B3*0.885*12</f>
        <v>23654.988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5.75">
      <c r="A28" s="29" t="s">
        <v>41</v>
      </c>
      <c r="B28" s="29"/>
      <c r="C28" s="29"/>
      <c r="D28" s="29"/>
      <c r="E28" s="29"/>
      <c r="F28" s="29"/>
      <c r="G28" s="30">
        <v>13812.77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0">
        <f>B3*1.81*6+B3*1.86*6</f>
        <v>49047.348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414.48</v>
      </c>
    </row>
    <row r="34" spans="1:7" ht="15.75">
      <c r="A34" s="29" t="s">
        <v>47</v>
      </c>
      <c r="B34" s="29"/>
      <c r="C34" s="29"/>
      <c r="D34" s="29"/>
      <c r="E34" s="29"/>
      <c r="F34" s="29"/>
      <c r="G34" s="30">
        <f>B3*0.65*12</f>
        <v>17373.72</v>
      </c>
    </row>
    <row r="35" spans="1:7" ht="15.75">
      <c r="A35" s="29" t="s">
        <v>48</v>
      </c>
      <c r="B35" s="29"/>
      <c r="C35" s="29"/>
      <c r="D35" s="29"/>
      <c r="E35" s="29"/>
      <c r="F35" s="29"/>
      <c r="G35" s="30">
        <f>B3*0.82*12</f>
        <v>21917.616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B3*0.9*12</f>
        <v>24055.920000000002</v>
      </c>
    </row>
    <row r="37" spans="1:7" ht="15.7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247495.77654414726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5.75" hidden="1">
      <c r="A39" s="29" t="s">
        <v>52</v>
      </c>
      <c r="B39" s="29"/>
      <c r="C39" s="29"/>
      <c r="D39" s="29"/>
      <c r="E39" s="29"/>
      <c r="F39" s="29"/>
      <c r="G39" s="30">
        <f>B3*2.96*2</f>
        <v>13186.208</v>
      </c>
    </row>
    <row r="40" spans="1:7" ht="15.75">
      <c r="A40" s="29" t="s">
        <v>53</v>
      </c>
      <c r="B40" s="29"/>
      <c r="C40" s="29"/>
      <c r="D40" s="29"/>
      <c r="E40" s="29"/>
      <c r="F40" s="29"/>
      <c r="G40" s="30"/>
    </row>
    <row r="41" spans="1:7" ht="17.25">
      <c r="A41" s="37" t="s">
        <v>54</v>
      </c>
      <c r="B41" s="37"/>
      <c r="C41" s="37"/>
      <c r="D41" s="37"/>
      <c r="E41" s="37"/>
      <c r="F41" s="37"/>
      <c r="G41" s="30">
        <f>4959.89+3416.94+8113.75+11583.47+1574.24</f>
        <v>29648.290000000005</v>
      </c>
    </row>
    <row r="42" spans="1:7" ht="17.25">
      <c r="A42" s="37" t="s">
        <v>55</v>
      </c>
      <c r="B42" s="37"/>
      <c r="C42" s="37"/>
      <c r="D42" s="37"/>
      <c r="E42" s="37"/>
      <c r="F42" s="37"/>
      <c r="G42" s="30"/>
    </row>
    <row r="43" spans="1:7" ht="17.25" hidden="1">
      <c r="A43" s="37" t="s">
        <v>56</v>
      </c>
      <c r="B43" s="37"/>
      <c r="C43" s="37"/>
      <c r="D43" s="37"/>
      <c r="E43" s="37"/>
      <c r="F43" s="37"/>
      <c r="G43" s="30"/>
    </row>
    <row r="44" spans="1:7" ht="17.25" hidden="1">
      <c r="A44" s="37" t="s">
        <v>57</v>
      </c>
      <c r="B44" s="37"/>
      <c r="C44" s="37"/>
      <c r="D44" s="37"/>
      <c r="E44" s="37"/>
      <c r="F44" s="37"/>
      <c r="G44" s="30"/>
    </row>
    <row r="45" spans="1:7" ht="17.25">
      <c r="A45" s="37" t="s">
        <v>58</v>
      </c>
      <c r="B45" s="37"/>
      <c r="C45" s="37"/>
      <c r="D45" s="37"/>
      <c r="E45" s="37"/>
      <c r="F45" s="37"/>
      <c r="G45" s="30"/>
    </row>
    <row r="46" spans="1:7" ht="17.25">
      <c r="A46" s="37" t="s">
        <v>59</v>
      </c>
      <c r="B46" s="37"/>
      <c r="C46" s="37"/>
      <c r="D46" s="37"/>
      <c r="E46" s="37"/>
      <c r="F46" s="37"/>
      <c r="G46" s="30">
        <v>4369.5</v>
      </c>
    </row>
    <row r="47" spans="1:7" ht="17.25">
      <c r="A47" s="37" t="s">
        <v>60</v>
      </c>
      <c r="B47" s="37"/>
      <c r="C47" s="37"/>
      <c r="D47" s="37"/>
      <c r="E47" s="37"/>
      <c r="F47" s="37"/>
      <c r="G47" s="30">
        <f>42.08+168.32+788.03+1936.45</f>
        <v>2934.88</v>
      </c>
    </row>
    <row r="48" spans="1:7" ht="17.25">
      <c r="A48" s="37" t="s">
        <v>61</v>
      </c>
      <c r="B48" s="37"/>
      <c r="C48" s="37"/>
      <c r="D48" s="37"/>
      <c r="E48" s="37"/>
      <c r="F48" s="37"/>
      <c r="G48" s="30">
        <v>2246.66</v>
      </c>
    </row>
    <row r="49" spans="1:7" ht="17.25" hidden="1">
      <c r="A49" s="37" t="s">
        <v>62</v>
      </c>
      <c r="B49" s="37"/>
      <c r="C49" s="37"/>
      <c r="D49" s="37"/>
      <c r="E49" s="37"/>
      <c r="F49" s="37"/>
      <c r="G49" s="30"/>
    </row>
    <row r="50" spans="1:7" ht="17.25" hidden="1">
      <c r="A50" s="37" t="s">
        <v>62</v>
      </c>
      <c r="B50" s="37"/>
      <c r="C50" s="37"/>
      <c r="D50" s="37"/>
      <c r="E50" s="37"/>
      <c r="F50" s="37"/>
      <c r="G50" s="30"/>
    </row>
    <row r="51" spans="1:7" ht="16.5">
      <c r="A51" s="71" t="s">
        <v>182</v>
      </c>
      <c r="B51" s="71"/>
      <c r="C51" s="71"/>
      <c r="D51" s="71"/>
      <c r="E51" s="71"/>
      <c r="F51" s="71"/>
      <c r="G51" s="30">
        <v>1739.01</v>
      </c>
    </row>
    <row r="52" spans="1:7" ht="17.25" hidden="1">
      <c r="A52" s="37" t="s">
        <v>64</v>
      </c>
      <c r="B52" s="37"/>
      <c r="C52" s="37"/>
      <c r="D52" s="37"/>
      <c r="E52" s="37"/>
      <c r="F52" s="37"/>
      <c r="G52" s="30"/>
    </row>
    <row r="53" spans="1:7" ht="17.25" customHeight="1">
      <c r="A53" s="37" t="s">
        <v>65</v>
      </c>
      <c r="B53" s="37"/>
      <c r="C53" s="37"/>
      <c r="D53" s="37"/>
      <c r="E53" s="37"/>
      <c r="F53" s="37"/>
      <c r="G53" s="30">
        <v>31106.4</v>
      </c>
    </row>
    <row r="54" spans="1:7" ht="15.75" customHeight="1" hidden="1">
      <c r="A54" s="37" t="s">
        <v>66</v>
      </c>
      <c r="B54" s="37"/>
      <c r="C54" s="37"/>
      <c r="D54" s="37"/>
      <c r="E54" s="37"/>
      <c r="F54" s="37"/>
      <c r="G54" s="30"/>
    </row>
    <row r="55" spans="1:7" ht="15.75" customHeight="1" hidden="1">
      <c r="A55" s="37" t="s">
        <v>67</v>
      </c>
      <c r="B55" s="37"/>
      <c r="C55" s="37"/>
      <c r="D55" s="37"/>
      <c r="E55" s="37"/>
      <c r="F55" s="37"/>
      <c r="G55" s="30"/>
    </row>
    <row r="56" spans="1:7" ht="15.75" customHeight="1">
      <c r="A56" s="38" t="s">
        <v>68</v>
      </c>
      <c r="B56" s="38"/>
      <c r="C56" s="38"/>
      <c r="D56" s="38"/>
      <c r="E56" s="38"/>
      <c r="F56" s="38"/>
      <c r="G56" s="34">
        <f>G41+G42+G43+G44+G45+G46+G47+G48+G49+G50+G52+G53+G54+G55</f>
        <v>70305.73000000001</v>
      </c>
    </row>
    <row r="57" spans="1:7" ht="15.75" customHeight="1">
      <c r="A57" s="38" t="s">
        <v>69</v>
      </c>
      <c r="B57" s="38"/>
      <c r="C57" s="38"/>
      <c r="D57" s="38"/>
      <c r="E57" s="38"/>
      <c r="F57" s="38"/>
      <c r="G57" s="34">
        <f>G37+G56</f>
        <v>317801.50654414727</v>
      </c>
    </row>
    <row r="58" spans="1:7" ht="15.75" customHeight="1">
      <c r="A58" s="29" t="s">
        <v>70</v>
      </c>
      <c r="B58" s="29"/>
      <c r="C58" s="29"/>
      <c r="D58" s="29"/>
      <c r="E58" s="29"/>
      <c r="F58" s="29"/>
      <c r="G58" s="30">
        <v>0</v>
      </c>
    </row>
    <row r="59" spans="1:7" ht="15.75">
      <c r="A59" s="40" t="s">
        <v>147</v>
      </c>
      <c r="B59" s="40"/>
      <c r="C59" s="40"/>
      <c r="D59" s="40"/>
      <c r="E59" s="40"/>
      <c r="F59" s="40"/>
      <c r="G59" s="34">
        <f>B3*B4*4+B3*B5*2+B3*B6*5+B3*B7*1+G60</f>
        <v>320601.602</v>
      </c>
    </row>
    <row r="60" spans="1:7" ht="15.75" customHeight="1">
      <c r="A60" s="41" t="s">
        <v>144</v>
      </c>
      <c r="B60" s="41"/>
      <c r="C60" s="41"/>
      <c r="D60" s="41"/>
      <c r="E60" s="41"/>
      <c r="F60" s="41"/>
      <c r="G60" s="34">
        <f>180*1*12+141.6*1*12+160*1*12+215.6*1*12+269*1*12</f>
        <v>11594.4</v>
      </c>
    </row>
    <row r="61" spans="1:7" ht="15.75" customHeight="1">
      <c r="A61" s="42" t="s">
        <v>73</v>
      </c>
      <c r="B61" s="42"/>
      <c r="C61" s="42"/>
      <c r="D61" s="42"/>
      <c r="E61" s="42"/>
      <c r="F61" s="42"/>
      <c r="G61" s="47">
        <v>21029.31</v>
      </c>
    </row>
    <row r="62" spans="1:7" ht="57.75" customHeight="1">
      <c r="A62" s="44" t="s">
        <v>183</v>
      </c>
      <c r="B62" s="44"/>
      <c r="C62" s="44"/>
      <c r="D62" s="44"/>
      <c r="E62" s="44"/>
      <c r="F62" s="44"/>
      <c r="G62" s="48">
        <f>G57-G59+G61-G58</f>
        <v>18229.214544147257</v>
      </c>
    </row>
    <row r="63" ht="15.75">
      <c r="G63" s="49"/>
    </row>
    <row r="64" ht="15.75">
      <c r="G64" s="49"/>
    </row>
    <row r="65" ht="15.7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9"/>
  </sheetPr>
  <dimension ref="A1:G65"/>
  <sheetViews>
    <sheetView zoomScale="75" zoomScaleNormal="75" workbookViewId="0" topLeftCell="A1">
      <selection activeCell="G37" sqref="G37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57421875" style="1" customWidth="1"/>
    <col min="8" max="40" width="9.140625" style="1" customWidth="1"/>
    <col min="41" max="43" width="9.140625" style="2" customWidth="1"/>
    <col min="44" max="44" width="9.140625" style="3" customWidth="1"/>
    <col min="45" max="45" width="9.140625" style="4" customWidth="1"/>
    <col min="46" max="16384" width="9.140625" style="1" customWidth="1"/>
  </cols>
  <sheetData>
    <row r="1" spans="1:7" ht="56.2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184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5699</v>
      </c>
      <c r="F3" s="8" t="s">
        <v>5</v>
      </c>
      <c r="G3" s="11">
        <v>8</v>
      </c>
    </row>
    <row r="4" spans="1:7" ht="18.75">
      <c r="A4" s="12" t="s">
        <v>6</v>
      </c>
      <c r="B4" s="46">
        <v>11.39</v>
      </c>
      <c r="C4" s="1" t="s">
        <v>93</v>
      </c>
      <c r="F4" s="8" t="s">
        <v>8</v>
      </c>
      <c r="G4" s="9">
        <v>1969</v>
      </c>
    </row>
    <row r="5" spans="1:7" ht="18.75">
      <c r="A5" s="12" t="s">
        <v>6</v>
      </c>
      <c r="B5" s="46">
        <v>11.54</v>
      </c>
      <c r="C5" s="1" t="s">
        <v>94</v>
      </c>
      <c r="F5" s="8"/>
      <c r="G5" s="9"/>
    </row>
    <row r="6" spans="1:7" ht="18.75">
      <c r="A6" s="12" t="s">
        <v>6</v>
      </c>
      <c r="B6" s="46">
        <v>11.59</v>
      </c>
      <c r="C6" s="1" t="s">
        <v>10</v>
      </c>
      <c r="F6" s="8"/>
      <c r="G6" s="9"/>
    </row>
    <row r="7" spans="1:3" ht="18.75">
      <c r="A7" s="12" t="s">
        <v>6</v>
      </c>
      <c r="B7" s="46">
        <v>12.14</v>
      </c>
      <c r="C7" s="1" t="s">
        <v>95</v>
      </c>
    </row>
    <row r="8" spans="1:7" ht="18.75" hidden="1">
      <c r="A8" s="15" t="s">
        <v>12</v>
      </c>
      <c r="B8" s="16">
        <v>588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35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2029</v>
      </c>
      <c r="C11" s="18">
        <v>2197</v>
      </c>
      <c r="D11" s="18">
        <v>1319</v>
      </c>
      <c r="E11" s="18">
        <v>2907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1151</v>
      </c>
      <c r="C13" s="21">
        <v>1139.8</v>
      </c>
      <c r="D13" s="21">
        <f>B13+C13</f>
        <v>2290.8</v>
      </c>
      <c r="E13" s="17"/>
      <c r="F13" s="17"/>
      <c r="G13" s="17"/>
    </row>
    <row r="14" spans="1:7" ht="48.75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119</v>
      </c>
      <c r="C15" s="25"/>
      <c r="D15" s="25">
        <v>119</v>
      </c>
      <c r="E15" s="26">
        <f>D15+C15+B15</f>
        <v>238</v>
      </c>
      <c r="F15" s="18"/>
      <c r="G15" s="17"/>
    </row>
    <row r="16" spans="1:7" ht="16.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6.5">
      <c r="A17" s="29" t="s">
        <v>30</v>
      </c>
      <c r="B17" s="29"/>
      <c r="C17" s="29"/>
      <c r="D17" s="29"/>
      <c r="E17" s="29"/>
      <c r="F17" s="29"/>
      <c r="G17" s="36">
        <f>B8*8.689*12</f>
        <v>61309.583999999995</v>
      </c>
    </row>
    <row r="18" spans="1:7" ht="16.5" hidden="1">
      <c r="A18" s="29" t="s">
        <v>31</v>
      </c>
      <c r="B18" s="29"/>
      <c r="C18" s="29"/>
      <c r="D18" s="29"/>
      <c r="E18" s="29"/>
      <c r="F18" s="29"/>
      <c r="G18" s="36">
        <f>B9*19.029*12</f>
        <v>0</v>
      </c>
    </row>
    <row r="19" spans="1:7" ht="16.5" customHeight="1" hidden="1">
      <c r="A19" s="29" t="s">
        <v>85</v>
      </c>
      <c r="B19" s="29"/>
      <c r="C19" s="29"/>
      <c r="D19" s="29"/>
      <c r="E19" s="29"/>
      <c r="F19" s="29"/>
      <c r="G19" s="36">
        <f>B12*0.4522*12</f>
        <v>0</v>
      </c>
    </row>
    <row r="20" spans="1:7" ht="16.5">
      <c r="A20" s="29" t="s">
        <v>33</v>
      </c>
      <c r="B20" s="29"/>
      <c r="C20" s="29"/>
      <c r="D20" s="29"/>
      <c r="E20" s="29"/>
      <c r="F20" s="29"/>
      <c r="G20" s="36">
        <f>(B11*12.84/100*189)+(C11*9.63/100*113)+(D11*32.11/100*71)+(E11*2.41/100*12)</f>
        <v>104057.893</v>
      </c>
    </row>
    <row r="21" spans="1:7" ht="18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40161.409350092086</v>
      </c>
    </row>
    <row r="22" spans="1:7" ht="16.5">
      <c r="A22" s="29" t="s">
        <v>35</v>
      </c>
      <c r="B22" s="29"/>
      <c r="C22" s="29"/>
      <c r="D22" s="29"/>
      <c r="E22" s="29"/>
      <c r="F22" s="29"/>
      <c r="G22" s="36">
        <f>D13*0.135*6</f>
        <v>1855.5480000000002</v>
      </c>
    </row>
    <row r="23" spans="1:7" ht="16.5">
      <c r="A23" s="29" t="s">
        <v>36</v>
      </c>
      <c r="B23" s="29"/>
      <c r="C23" s="29"/>
      <c r="D23" s="29"/>
      <c r="E23" s="29"/>
      <c r="F23" s="29"/>
      <c r="G23" s="36">
        <f>114.94+7144.61+1465.56+632.2+7931.02</f>
        <v>17288.33</v>
      </c>
    </row>
    <row r="24" spans="1:7" ht="16.5">
      <c r="A24" s="29" t="s">
        <v>37</v>
      </c>
      <c r="B24" s="29"/>
      <c r="C24" s="29"/>
      <c r="D24" s="29"/>
      <c r="E24" s="29"/>
      <c r="F24" s="29"/>
      <c r="G24" s="36">
        <f>B3*0.885*12</f>
        <v>60523.38</v>
      </c>
    </row>
    <row r="25" spans="1:7" ht="16.5" hidden="1">
      <c r="A25" s="29" t="s">
        <v>38</v>
      </c>
      <c r="B25" s="29"/>
      <c r="C25" s="29"/>
      <c r="D25" s="29"/>
      <c r="E25" s="29"/>
      <c r="F25" s="29"/>
      <c r="G25" s="36">
        <v>0</v>
      </c>
    </row>
    <row r="26" spans="1:7" ht="16.5" hidden="1">
      <c r="A26" s="29" t="s">
        <v>39</v>
      </c>
      <c r="B26" s="29"/>
      <c r="C26" s="29"/>
      <c r="D26" s="29"/>
      <c r="E26" s="29"/>
      <c r="F26" s="29"/>
      <c r="G26" s="36">
        <v>0</v>
      </c>
    </row>
    <row r="27" spans="1:7" ht="16.5" hidden="1">
      <c r="A27" s="29" t="s">
        <v>40</v>
      </c>
      <c r="B27" s="29"/>
      <c r="C27" s="29"/>
      <c r="D27" s="29"/>
      <c r="E27" s="29"/>
      <c r="F27" s="29"/>
      <c r="G27" s="36">
        <v>0</v>
      </c>
    </row>
    <row r="28" spans="1:7" ht="16.5">
      <c r="A28" s="29" t="s">
        <v>41</v>
      </c>
      <c r="B28" s="29"/>
      <c r="C28" s="29"/>
      <c r="D28" s="29"/>
      <c r="E28" s="29"/>
      <c r="F28" s="29"/>
      <c r="G28" s="30">
        <v>12703.89</v>
      </c>
    </row>
    <row r="29" spans="1:7" ht="16.5" hidden="1">
      <c r="A29" s="29" t="s">
        <v>42</v>
      </c>
      <c r="B29" s="29"/>
      <c r="C29" s="29"/>
      <c r="D29" s="29"/>
      <c r="E29" s="29"/>
      <c r="F29" s="29"/>
      <c r="G29" s="36">
        <v>0</v>
      </c>
    </row>
    <row r="30" spans="1:7" ht="16.5" hidden="1">
      <c r="A30" s="29" t="s">
        <v>43</v>
      </c>
      <c r="B30" s="29"/>
      <c r="C30" s="29"/>
      <c r="D30" s="29"/>
      <c r="E30" s="29"/>
      <c r="F30" s="29"/>
      <c r="G30" s="36">
        <v>0</v>
      </c>
    </row>
    <row r="31" spans="1:7" ht="16.5" customHeight="1" hidden="1">
      <c r="A31" s="29" t="s">
        <v>44</v>
      </c>
      <c r="B31" s="29"/>
      <c r="C31" s="29"/>
      <c r="D31" s="29"/>
      <c r="E31" s="29"/>
      <c r="F31" s="29"/>
      <c r="G31" s="36">
        <v>0</v>
      </c>
    </row>
    <row r="32" spans="1:7" ht="16.5">
      <c r="A32" s="29" t="s">
        <v>45</v>
      </c>
      <c r="B32" s="29"/>
      <c r="C32" s="29"/>
      <c r="D32" s="29"/>
      <c r="E32" s="29"/>
      <c r="F32" s="29"/>
      <c r="G32" s="36">
        <f>B3*1.81*6+B3*1.86*6</f>
        <v>125491.98</v>
      </c>
    </row>
    <row r="33" spans="1:7" ht="18.75" customHeight="1">
      <c r="A33" s="31" t="s">
        <v>46</v>
      </c>
      <c r="B33" s="31"/>
      <c r="C33" s="31"/>
      <c r="D33" s="31"/>
      <c r="E33" s="31"/>
      <c r="F33" s="31"/>
      <c r="G33" s="36">
        <f>(F15*4*8.57)+(B15*2*3.14)+(C15*1*3.14)+(D15*1*3.14)</f>
        <v>1120.98</v>
      </c>
    </row>
    <row r="34" spans="1:7" ht="16.5">
      <c r="A34" s="29" t="s">
        <v>47</v>
      </c>
      <c r="B34" s="29"/>
      <c r="C34" s="29"/>
      <c r="D34" s="29"/>
      <c r="E34" s="29"/>
      <c r="F34" s="29"/>
      <c r="G34" s="36">
        <f>B3*0.65*12</f>
        <v>44452.2</v>
      </c>
    </row>
    <row r="35" spans="1:7" ht="16.5">
      <c r="A35" s="29" t="s">
        <v>48</v>
      </c>
      <c r="B35" s="29"/>
      <c r="C35" s="29"/>
      <c r="D35" s="29"/>
      <c r="E35" s="29"/>
      <c r="F35" s="29"/>
      <c r="G35" s="36">
        <f>B3*0.82*12</f>
        <v>56078.16</v>
      </c>
    </row>
    <row r="36" spans="1:7" ht="16.5" customHeight="1">
      <c r="A36" s="29" t="s">
        <v>49</v>
      </c>
      <c r="B36" s="29"/>
      <c r="C36" s="29"/>
      <c r="D36" s="29"/>
      <c r="E36" s="29"/>
      <c r="F36" s="29"/>
      <c r="G36" s="36">
        <f>B3*0.95*12</f>
        <v>64968.600000000006</v>
      </c>
    </row>
    <row r="37" spans="1:7" ht="16.5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590011.9543500921</v>
      </c>
    </row>
    <row r="38" spans="1:7" ht="18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6.5" hidden="1">
      <c r="A39" s="29" t="s">
        <v>52</v>
      </c>
      <c r="B39" s="29"/>
      <c r="C39" s="29"/>
      <c r="D39" s="29"/>
      <c r="E39" s="29"/>
      <c r="F39" s="29"/>
      <c r="G39" s="36">
        <f>B3*2.96*12</f>
        <v>202428.48</v>
      </c>
    </row>
    <row r="40" spans="1:7" ht="16.5">
      <c r="A40" s="29" t="s">
        <v>53</v>
      </c>
      <c r="B40" s="29"/>
      <c r="C40" s="29"/>
      <c r="D40" s="29"/>
      <c r="E40" s="29"/>
      <c r="F40" s="29"/>
      <c r="G40" s="36"/>
    </row>
    <row r="41" spans="1:7" ht="16.5">
      <c r="A41" s="37" t="s">
        <v>54</v>
      </c>
      <c r="B41" s="37"/>
      <c r="C41" s="37"/>
      <c r="D41" s="37"/>
      <c r="E41" s="37"/>
      <c r="F41" s="37"/>
      <c r="G41" s="36"/>
    </row>
    <row r="42" spans="1:7" ht="16.5" hidden="1">
      <c r="A42" s="37" t="s">
        <v>55</v>
      </c>
      <c r="B42" s="37"/>
      <c r="C42" s="37"/>
      <c r="D42" s="37"/>
      <c r="E42" s="37"/>
      <c r="F42" s="37"/>
      <c r="G42" s="36"/>
    </row>
    <row r="43" spans="1:7" ht="16.5" hidden="1">
      <c r="A43" s="37" t="s">
        <v>56</v>
      </c>
      <c r="B43" s="37"/>
      <c r="C43" s="37"/>
      <c r="D43" s="37"/>
      <c r="E43" s="37"/>
      <c r="F43" s="37"/>
      <c r="G43" s="36"/>
    </row>
    <row r="44" spans="1:7" ht="16.5" hidden="1">
      <c r="A44" s="37" t="s">
        <v>57</v>
      </c>
      <c r="B44" s="37"/>
      <c r="C44" s="37"/>
      <c r="D44" s="37"/>
      <c r="E44" s="37"/>
      <c r="F44" s="37"/>
      <c r="G44" s="36"/>
    </row>
    <row r="45" spans="1:7" ht="16.5">
      <c r="A45" s="37" t="s">
        <v>58</v>
      </c>
      <c r="B45" s="37"/>
      <c r="C45" s="37"/>
      <c r="D45" s="37"/>
      <c r="E45" s="37"/>
      <c r="F45" s="37"/>
      <c r="G45" s="36">
        <v>75076.05</v>
      </c>
    </row>
    <row r="46" spans="1:7" ht="16.5" hidden="1">
      <c r="A46" s="37" t="s">
        <v>59</v>
      </c>
      <c r="B46" s="37"/>
      <c r="C46" s="37"/>
      <c r="D46" s="37"/>
      <c r="E46" s="37"/>
      <c r="F46" s="37"/>
      <c r="G46" s="36"/>
    </row>
    <row r="47" spans="1:7" ht="16.5" hidden="1">
      <c r="A47" s="37" t="s">
        <v>60</v>
      </c>
      <c r="B47" s="37"/>
      <c r="C47" s="37"/>
      <c r="D47" s="37"/>
      <c r="E47" s="37"/>
      <c r="F47" s="37"/>
      <c r="G47" s="36"/>
    </row>
    <row r="48" spans="1:7" ht="16.5">
      <c r="A48" s="37" t="s">
        <v>61</v>
      </c>
      <c r="B48" s="37"/>
      <c r="C48" s="37"/>
      <c r="D48" s="37"/>
      <c r="E48" s="37"/>
      <c r="F48" s="37"/>
      <c r="G48" s="36">
        <f>2520.06+5040.11+2520.06+2520.06</f>
        <v>12600.289999999999</v>
      </c>
    </row>
    <row r="49" spans="1:7" ht="16.5" hidden="1">
      <c r="A49" s="37" t="s">
        <v>62</v>
      </c>
      <c r="B49" s="37"/>
      <c r="C49" s="37"/>
      <c r="D49" s="37"/>
      <c r="E49" s="37"/>
      <c r="F49" s="37"/>
      <c r="G49" s="36"/>
    </row>
    <row r="50" spans="1:7" ht="16.5" hidden="1">
      <c r="A50" s="37" t="s">
        <v>63</v>
      </c>
      <c r="B50" s="37"/>
      <c r="C50" s="37"/>
      <c r="D50" s="37"/>
      <c r="E50" s="37"/>
      <c r="F50" s="37"/>
      <c r="G50" s="36"/>
    </row>
    <row r="51" spans="1:7" ht="16.5" hidden="1">
      <c r="A51" s="37" t="s">
        <v>64</v>
      </c>
      <c r="B51" s="37"/>
      <c r="C51" s="37"/>
      <c r="D51" s="37"/>
      <c r="E51" s="37"/>
      <c r="F51" s="37"/>
      <c r="G51" s="36"/>
    </row>
    <row r="52" spans="1:7" ht="16.5">
      <c r="A52" s="37" t="s">
        <v>65</v>
      </c>
      <c r="B52" s="37"/>
      <c r="C52" s="37"/>
      <c r="D52" s="37"/>
      <c r="E52" s="37"/>
      <c r="F52" s="37"/>
      <c r="G52" s="36">
        <v>16271.04</v>
      </c>
    </row>
    <row r="53" spans="1:7" ht="16.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6.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8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103947.38</v>
      </c>
    </row>
    <row r="56" spans="1:7" ht="18.75" customHeight="1">
      <c r="A56" s="38" t="s">
        <v>69</v>
      </c>
      <c r="B56" s="38"/>
      <c r="C56" s="38"/>
      <c r="D56" s="38"/>
      <c r="E56" s="38"/>
      <c r="F56" s="38"/>
      <c r="G56" s="39">
        <f>G37+G55</f>
        <v>693959.3343500921</v>
      </c>
    </row>
    <row r="57" spans="1:7" ht="16.5">
      <c r="A57" s="29" t="s">
        <v>70</v>
      </c>
      <c r="B57" s="29"/>
      <c r="C57" s="29"/>
      <c r="D57" s="29"/>
      <c r="E57" s="29"/>
      <c r="F57" s="29"/>
      <c r="G57" s="36">
        <f>-6764.74-4665.39-2840.93-3499</f>
        <v>-17770.06</v>
      </c>
    </row>
    <row r="58" spans="1:7" ht="16.5" customHeight="1">
      <c r="A58" s="40" t="s">
        <v>147</v>
      </c>
      <c r="B58" s="40"/>
      <c r="C58" s="40"/>
      <c r="D58" s="40"/>
      <c r="E58" s="40"/>
      <c r="F58" s="40"/>
      <c r="G58" s="39">
        <f>B3*B4*4+B3*B5*2+B3*B6*5+B3*B7*1+G59</f>
        <v>810763.0700000001</v>
      </c>
    </row>
    <row r="59" spans="1:7" ht="16.5">
      <c r="A59" s="41" t="s">
        <v>144</v>
      </c>
      <c r="B59" s="41"/>
      <c r="C59" s="41"/>
      <c r="D59" s="41"/>
      <c r="E59" s="41"/>
      <c r="F59" s="41"/>
      <c r="G59" s="30">
        <f>180*1*12+141.6*1*12+160*2*12+215.6*1*12+141.6*2*12+269*2*12</f>
        <v>20140.8</v>
      </c>
    </row>
    <row r="60" spans="1:7" ht="16.5">
      <c r="A60" s="42" t="s">
        <v>73</v>
      </c>
      <c r="B60" s="42"/>
      <c r="C60" s="42"/>
      <c r="D60" s="42"/>
      <c r="E60" s="42"/>
      <c r="F60" s="42"/>
      <c r="G60" s="43">
        <v>57029.71</v>
      </c>
    </row>
    <row r="61" spans="1:7" ht="57.75" customHeight="1">
      <c r="A61" s="44" t="s">
        <v>74</v>
      </c>
      <c r="B61" s="44"/>
      <c r="C61" s="44"/>
      <c r="D61" s="44"/>
      <c r="E61" s="44"/>
      <c r="F61" s="44"/>
      <c r="G61" s="45">
        <f>G56-G58+G60-G57</f>
        <v>-42003.96564990796</v>
      </c>
    </row>
    <row r="62" ht="16.5"/>
    <row r="63" ht="16.5"/>
    <row r="64" ht="16.5"/>
    <row r="65" ht="16.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1"/>
  </sheetPr>
  <dimension ref="A1:G64"/>
  <sheetViews>
    <sheetView zoomScale="75" zoomScaleNormal="75" workbookViewId="0" topLeftCell="A20">
      <selection activeCell="G37" sqref="G37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28125" style="1" customWidth="1"/>
    <col min="7" max="7" width="14.2812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2.5" customHeight="1">
      <c r="A1" s="5" t="s">
        <v>0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185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4416.9</v>
      </c>
      <c r="F3" s="8" t="s">
        <v>5</v>
      </c>
      <c r="G3" s="11">
        <v>6</v>
      </c>
    </row>
    <row r="4" spans="1:7" ht="18.75">
      <c r="A4" s="12" t="s">
        <v>6</v>
      </c>
      <c r="B4" s="46">
        <v>11.39</v>
      </c>
      <c r="C4" s="1" t="s">
        <v>93</v>
      </c>
      <c r="F4" s="8" t="s">
        <v>8</v>
      </c>
      <c r="G4" s="9">
        <v>1967</v>
      </c>
    </row>
    <row r="5" spans="1:7" ht="18.75">
      <c r="A5" s="12" t="s">
        <v>6</v>
      </c>
      <c r="B5" s="46">
        <v>11.54</v>
      </c>
      <c r="C5" s="1" t="s">
        <v>94</v>
      </c>
      <c r="F5" s="8"/>
      <c r="G5" s="9"/>
    </row>
    <row r="6" spans="1:7" ht="18.75">
      <c r="A6" s="12" t="s">
        <v>6</v>
      </c>
      <c r="B6" s="46">
        <v>11.59</v>
      </c>
      <c r="C6" s="1" t="s">
        <v>10</v>
      </c>
      <c r="F6" s="8"/>
      <c r="G6" s="9"/>
    </row>
    <row r="7" spans="1:3" ht="18.75">
      <c r="A7" s="12" t="s">
        <v>6</v>
      </c>
      <c r="B7" s="46">
        <v>12.14</v>
      </c>
      <c r="C7" s="1" t="s">
        <v>95</v>
      </c>
    </row>
    <row r="8" spans="1:7" ht="18.75" hidden="1">
      <c r="A8" s="15" t="s">
        <v>12</v>
      </c>
      <c r="B8" s="16">
        <v>465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35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1139</v>
      </c>
      <c r="C11" s="18">
        <v>2962</v>
      </c>
      <c r="D11" s="18">
        <v>873</v>
      </c>
      <c r="E11" s="18">
        <v>3228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1188.8</v>
      </c>
      <c r="C13" s="21">
        <v>883.6</v>
      </c>
      <c r="D13" s="21">
        <f>B13+C13</f>
        <v>2072.4</v>
      </c>
      <c r="E13" s="17"/>
      <c r="F13" s="17"/>
      <c r="G13" s="17"/>
    </row>
    <row r="14" spans="1:7" ht="48.75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90</v>
      </c>
      <c r="C15" s="25"/>
      <c r="D15" s="25">
        <v>90</v>
      </c>
      <c r="E15" s="26">
        <f>D15+C15+B15</f>
        <v>180</v>
      </c>
      <c r="F15" s="18"/>
      <c r="G15" s="17"/>
    </row>
    <row r="16" spans="1:7" ht="16.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6.5">
      <c r="A17" s="29" t="s">
        <v>30</v>
      </c>
      <c r="B17" s="29"/>
      <c r="C17" s="29"/>
      <c r="D17" s="29"/>
      <c r="E17" s="29"/>
      <c r="F17" s="29"/>
      <c r="G17" s="30">
        <f>B8*8.689*12</f>
        <v>48484.62</v>
      </c>
    </row>
    <row r="18" spans="1:7" ht="16.5" hidden="1">
      <c r="A18" s="29" t="s">
        <v>31</v>
      </c>
      <c r="B18" s="29"/>
      <c r="C18" s="29"/>
      <c r="D18" s="29"/>
      <c r="E18" s="29"/>
      <c r="F18" s="29"/>
      <c r="G18" s="30">
        <f>B9*35.705*12</f>
        <v>0</v>
      </c>
    </row>
    <row r="19" spans="1:7" ht="16.5" customHeight="1" hidden="1">
      <c r="A19" s="29" t="s">
        <v>85</v>
      </c>
      <c r="B19" s="29"/>
      <c r="C19" s="29"/>
      <c r="D19" s="29"/>
      <c r="E19" s="29"/>
      <c r="F19" s="29"/>
      <c r="G19" s="30">
        <f>B12*0.3613*12</f>
        <v>0</v>
      </c>
    </row>
    <row r="20" spans="1:7" ht="16.5">
      <c r="A20" s="29" t="s">
        <v>33</v>
      </c>
      <c r="B20" s="29"/>
      <c r="C20" s="29"/>
      <c r="D20" s="29"/>
      <c r="E20" s="29"/>
      <c r="F20" s="29"/>
      <c r="G20" s="30">
        <f>(B11*12.84/100*189)+(C11*9.63/100*113)+(D11*32.11/100*71)+(E11*2.41/100*12)</f>
        <v>80709.2631</v>
      </c>
    </row>
    <row r="21" spans="1:7" ht="18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31126.325488405284</v>
      </c>
    </row>
    <row r="22" spans="1:7" ht="16.5">
      <c r="A22" s="29" t="s">
        <v>35</v>
      </c>
      <c r="B22" s="29"/>
      <c r="C22" s="29"/>
      <c r="D22" s="29"/>
      <c r="E22" s="29"/>
      <c r="F22" s="29"/>
      <c r="G22" s="30">
        <f>D13*0.135*6</f>
        <v>1678.6440000000002</v>
      </c>
    </row>
    <row r="23" spans="1:7" ht="16.5">
      <c r="A23" s="29" t="s">
        <v>36</v>
      </c>
      <c r="B23" s="29"/>
      <c r="C23" s="29"/>
      <c r="D23" s="29"/>
      <c r="E23" s="29"/>
      <c r="F23" s="29"/>
      <c r="G23" s="30">
        <f>114.94+5495.85+1099.17+646.55+5948.26</f>
        <v>13304.77</v>
      </c>
    </row>
    <row r="24" spans="1:7" ht="16.5">
      <c r="A24" s="29" t="s">
        <v>37</v>
      </c>
      <c r="B24" s="29"/>
      <c r="C24" s="29"/>
      <c r="D24" s="29"/>
      <c r="E24" s="29"/>
      <c r="F24" s="29"/>
      <c r="G24" s="30">
        <f>B3*0.885*12</f>
        <v>46907.477999999996</v>
      </c>
    </row>
    <row r="25" spans="1:7" ht="16.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6.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6.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6.5">
      <c r="A28" s="29" t="s">
        <v>41</v>
      </c>
      <c r="B28" s="29"/>
      <c r="C28" s="29"/>
      <c r="D28" s="29"/>
      <c r="E28" s="29"/>
      <c r="F28" s="29"/>
      <c r="G28" s="30">
        <v>12703.89</v>
      </c>
    </row>
    <row r="29" spans="1:7" ht="16.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6.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6.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6.5">
      <c r="A32" s="29" t="s">
        <v>45</v>
      </c>
      <c r="B32" s="29"/>
      <c r="C32" s="29"/>
      <c r="D32" s="29"/>
      <c r="E32" s="29"/>
      <c r="F32" s="29"/>
      <c r="G32" s="30">
        <f>B3*1.81*6+B3*1.86*6</f>
        <v>97260.13799999999</v>
      </c>
    </row>
    <row r="33" spans="1:7" ht="18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847.8000000000001</v>
      </c>
    </row>
    <row r="34" spans="1:7" ht="16.5">
      <c r="A34" s="29" t="s">
        <v>47</v>
      </c>
      <c r="B34" s="29"/>
      <c r="C34" s="29"/>
      <c r="D34" s="29"/>
      <c r="E34" s="29"/>
      <c r="F34" s="29"/>
      <c r="G34" s="30">
        <f>B3*0.65*12</f>
        <v>34451.81999999999</v>
      </c>
    </row>
    <row r="35" spans="1:7" ht="16.5">
      <c r="A35" s="29" t="s">
        <v>48</v>
      </c>
      <c r="B35" s="29"/>
      <c r="C35" s="29"/>
      <c r="D35" s="29"/>
      <c r="E35" s="29"/>
      <c r="F35" s="29"/>
      <c r="G35" s="30">
        <f>B3*0.82*12</f>
        <v>43462.296</v>
      </c>
    </row>
    <row r="36" spans="1:7" ht="16.5" customHeight="1">
      <c r="A36" s="29" t="s">
        <v>49</v>
      </c>
      <c r="B36" s="29"/>
      <c r="C36" s="29"/>
      <c r="D36" s="29"/>
      <c r="E36" s="29"/>
      <c r="F36" s="29"/>
      <c r="G36" s="30">
        <f>B3*0.95*12</f>
        <v>50352.66</v>
      </c>
    </row>
    <row r="37" spans="1:7" ht="16.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461289.7045884053</v>
      </c>
    </row>
    <row r="38" spans="1:7" ht="18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6.5" hidden="1">
      <c r="A39" s="29" t="s">
        <v>52</v>
      </c>
      <c r="B39" s="29"/>
      <c r="C39" s="29"/>
      <c r="D39" s="29"/>
      <c r="E39" s="29"/>
      <c r="F39" s="29"/>
      <c r="G39" s="30">
        <f>B3*2.96*12</f>
        <v>156888.288</v>
      </c>
    </row>
    <row r="40" spans="1:7" ht="16.5">
      <c r="A40" s="29" t="s">
        <v>53</v>
      </c>
      <c r="B40" s="29"/>
      <c r="C40" s="29"/>
      <c r="D40" s="29"/>
      <c r="E40" s="29"/>
      <c r="F40" s="29"/>
      <c r="G40" s="30"/>
    </row>
    <row r="41" spans="1:7" ht="16.5">
      <c r="A41" s="37" t="s">
        <v>54</v>
      </c>
      <c r="B41" s="37"/>
      <c r="C41" s="37"/>
      <c r="D41" s="37"/>
      <c r="E41" s="37"/>
      <c r="F41" s="37"/>
      <c r="G41" s="30">
        <f>987.86+621.94+3316.27+1070.36+4764</f>
        <v>10760.43</v>
      </c>
    </row>
    <row r="42" spans="1:7" ht="16.5">
      <c r="A42" s="37" t="s">
        <v>55</v>
      </c>
      <c r="B42" s="37"/>
      <c r="C42" s="37"/>
      <c r="D42" s="37"/>
      <c r="E42" s="37"/>
      <c r="F42" s="37"/>
      <c r="G42" s="30">
        <v>1831.79</v>
      </c>
    </row>
    <row r="43" spans="1:7" ht="16.5">
      <c r="A43" s="37" t="s">
        <v>56</v>
      </c>
      <c r="B43" s="37"/>
      <c r="C43" s="37"/>
      <c r="D43" s="37"/>
      <c r="E43" s="37"/>
      <c r="F43" s="37"/>
      <c r="G43" s="30"/>
    </row>
    <row r="44" spans="1:7" ht="16.5" hidden="1">
      <c r="A44" s="37" t="s">
        <v>57</v>
      </c>
      <c r="B44" s="37"/>
      <c r="C44" s="37"/>
      <c r="D44" s="37"/>
      <c r="E44" s="37"/>
      <c r="F44" s="37"/>
      <c r="G44" s="30"/>
    </row>
    <row r="45" spans="1:7" ht="16.5" hidden="1">
      <c r="A45" s="37" t="s">
        <v>58</v>
      </c>
      <c r="B45" s="37"/>
      <c r="C45" s="37"/>
      <c r="D45" s="37"/>
      <c r="E45" s="37"/>
      <c r="F45" s="37"/>
      <c r="G45" s="30"/>
    </row>
    <row r="46" spans="1:7" ht="16.5">
      <c r="A46" s="37" t="s">
        <v>59</v>
      </c>
      <c r="B46" s="37"/>
      <c r="C46" s="37"/>
      <c r="D46" s="37"/>
      <c r="E46" s="37"/>
      <c r="F46" s="37"/>
      <c r="G46" s="30">
        <f>1683.64+4375.24</f>
        <v>6058.88</v>
      </c>
    </row>
    <row r="47" spans="1:7" ht="16.5">
      <c r="A47" s="37" t="s">
        <v>60</v>
      </c>
      <c r="B47" s="37"/>
      <c r="C47" s="37"/>
      <c r="D47" s="37"/>
      <c r="E47" s="37"/>
      <c r="F47" s="37"/>
      <c r="G47" s="30">
        <f>42.08+42.08+42.08+3121.24+42.08+1491.18</f>
        <v>4780.74</v>
      </c>
    </row>
    <row r="48" spans="1:7" ht="16.5">
      <c r="A48" s="37" t="s">
        <v>61</v>
      </c>
      <c r="B48" s="37"/>
      <c r="C48" s="37"/>
      <c r="D48" s="37"/>
      <c r="E48" s="37"/>
      <c r="F48" s="37"/>
      <c r="G48" s="30">
        <f>4686.85+755.9</f>
        <v>5442.75</v>
      </c>
    </row>
    <row r="49" spans="1:7" ht="16.5">
      <c r="A49" s="37" t="s">
        <v>62</v>
      </c>
      <c r="B49" s="37"/>
      <c r="C49" s="37"/>
      <c r="D49" s="37"/>
      <c r="E49" s="37"/>
      <c r="F49" s="37"/>
      <c r="G49" s="30">
        <f>1726.45+736.89+5354.93</f>
        <v>7818.27</v>
      </c>
    </row>
    <row r="50" spans="1:7" ht="16.5">
      <c r="A50" s="37" t="s">
        <v>125</v>
      </c>
      <c r="B50" s="37"/>
      <c r="C50" s="37"/>
      <c r="D50" s="37"/>
      <c r="E50" s="37"/>
      <c r="F50" s="37"/>
      <c r="G50" s="30">
        <v>3912.79</v>
      </c>
    </row>
    <row r="51" spans="1:7" ht="16.5" hidden="1">
      <c r="A51" s="37" t="s">
        <v>64</v>
      </c>
      <c r="B51" s="37"/>
      <c r="C51" s="37"/>
      <c r="D51" s="37"/>
      <c r="E51" s="37"/>
      <c r="F51" s="37"/>
      <c r="G51" s="30"/>
    </row>
    <row r="52" spans="1:7" ht="16.5">
      <c r="A52" s="37" t="s">
        <v>65</v>
      </c>
      <c r="B52" s="37"/>
      <c r="C52" s="37"/>
      <c r="D52" s="37"/>
      <c r="E52" s="37"/>
      <c r="F52" s="37"/>
      <c r="G52" s="30">
        <v>21056.64</v>
      </c>
    </row>
    <row r="53" spans="1:7" ht="16.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6.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8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61662.29</v>
      </c>
    </row>
    <row r="56" spans="1:7" ht="18.75" customHeight="1">
      <c r="A56" s="38" t="s">
        <v>69</v>
      </c>
      <c r="B56" s="38"/>
      <c r="C56" s="38"/>
      <c r="D56" s="38"/>
      <c r="E56" s="38"/>
      <c r="F56" s="38"/>
      <c r="G56" s="34">
        <f>G37+G55</f>
        <v>522951.9945884053</v>
      </c>
    </row>
    <row r="57" spans="1:7" ht="16.5">
      <c r="A57" s="29" t="s">
        <v>70</v>
      </c>
      <c r="B57" s="29"/>
      <c r="C57" s="29"/>
      <c r="D57" s="29"/>
      <c r="E57" s="29"/>
      <c r="F57" s="29"/>
      <c r="G57" s="30">
        <f>-5557.37-3832.59-2333.79-2873.73</f>
        <v>-14597.48</v>
      </c>
    </row>
    <row r="58" spans="1:7" ht="16.5" customHeight="1">
      <c r="A58" s="40" t="s">
        <v>147</v>
      </c>
      <c r="B58" s="40"/>
      <c r="C58" s="40"/>
      <c r="D58" s="40"/>
      <c r="E58" s="40"/>
      <c r="F58" s="40"/>
      <c r="G58" s="39">
        <f>B3*B4*4+B3*B5*2+B3*B6*5+B3*B7*1+G59</f>
        <v>630977.3369999999</v>
      </c>
    </row>
    <row r="59" spans="1:7" ht="16.5">
      <c r="A59" s="41" t="s">
        <v>144</v>
      </c>
      <c r="B59" s="41"/>
      <c r="C59" s="41"/>
      <c r="D59" s="41"/>
      <c r="E59" s="41"/>
      <c r="F59" s="41"/>
      <c r="G59" s="34">
        <f>2*141.6*12+1*141.6*12+1*180*12+160*1*12+215.6*1*12+269*2*12</f>
        <v>18220.8</v>
      </c>
    </row>
    <row r="60" spans="1:7" ht="16.5">
      <c r="A60" s="42" t="s">
        <v>73</v>
      </c>
      <c r="B60" s="42"/>
      <c r="C60" s="42"/>
      <c r="D60" s="42"/>
      <c r="E60" s="42"/>
      <c r="F60" s="42"/>
      <c r="G60" s="47">
        <v>32512.56</v>
      </c>
    </row>
    <row r="61" spans="1:7" ht="58.5" customHeight="1">
      <c r="A61" s="44" t="s">
        <v>74</v>
      </c>
      <c r="B61" s="44"/>
      <c r="C61" s="44"/>
      <c r="D61" s="44"/>
      <c r="E61" s="44"/>
      <c r="F61" s="44"/>
      <c r="G61" s="48">
        <f>G56-G58+G60-G57</f>
        <v>-60915.30241159465</v>
      </c>
    </row>
    <row r="62" ht="16.5"/>
    <row r="63" ht="16.5"/>
    <row r="64" ht="16.5">
      <c r="A64" s="1" t="s">
        <v>186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1"/>
  </sheetPr>
  <dimension ref="A1:G67"/>
  <sheetViews>
    <sheetView zoomScale="75" zoomScaleNormal="75" workbookViewId="0" topLeftCell="A2">
      <selection activeCell="G63" sqref="G63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4" width="9.140625" style="1" customWidth="1"/>
    <col min="5" max="5" width="7.421875" style="1" customWidth="1"/>
    <col min="6" max="6" width="21.00390625" style="1" customWidth="1"/>
    <col min="7" max="7" width="14.851562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7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187</v>
      </c>
      <c r="C2" s="7"/>
      <c r="D2" s="7"/>
      <c r="E2" s="7"/>
      <c r="F2" s="8" t="s">
        <v>3</v>
      </c>
      <c r="G2" s="9">
        <v>9</v>
      </c>
    </row>
    <row r="3" spans="1:7" ht="18.75">
      <c r="A3" s="6" t="s">
        <v>4</v>
      </c>
      <c r="B3" s="10">
        <v>5943.4</v>
      </c>
      <c r="F3" s="8" t="s">
        <v>5</v>
      </c>
      <c r="G3" s="11">
        <v>3</v>
      </c>
    </row>
    <row r="4" spans="1:7" ht="19.5" hidden="1">
      <c r="A4" s="12" t="s">
        <v>6</v>
      </c>
      <c r="B4" s="46"/>
      <c r="F4" s="8" t="s">
        <v>8</v>
      </c>
      <c r="G4" s="9">
        <v>1974</v>
      </c>
    </row>
    <row r="5" spans="1:7" ht="18.75">
      <c r="A5" s="12" t="s">
        <v>6</v>
      </c>
      <c r="B5" s="46">
        <v>12.74</v>
      </c>
      <c r="C5" s="1" t="s">
        <v>93</v>
      </c>
      <c r="F5" s="8"/>
      <c r="G5" s="9"/>
    </row>
    <row r="6" spans="1:7" ht="18.75">
      <c r="A6" s="12" t="s">
        <v>6</v>
      </c>
      <c r="B6" s="46">
        <v>12.89</v>
      </c>
      <c r="C6" s="1" t="s">
        <v>94</v>
      </c>
      <c r="F6" s="8"/>
      <c r="G6" s="9"/>
    </row>
    <row r="7" spans="1:7" ht="18.75">
      <c r="A7" s="12" t="s">
        <v>6</v>
      </c>
      <c r="B7" s="46">
        <v>12.94</v>
      </c>
      <c r="C7" s="1" t="s">
        <v>10</v>
      </c>
      <c r="F7" s="8"/>
      <c r="G7" s="9"/>
    </row>
    <row r="8" spans="1:3" ht="18.75">
      <c r="A8" s="12" t="s">
        <v>6</v>
      </c>
      <c r="B8" s="46">
        <v>13.37</v>
      </c>
      <c r="C8" s="1" t="s">
        <v>95</v>
      </c>
    </row>
    <row r="9" spans="1:7" ht="18.75" hidden="1">
      <c r="A9" s="15" t="s">
        <v>12</v>
      </c>
      <c r="B9" s="16">
        <v>758</v>
      </c>
      <c r="C9" s="17"/>
      <c r="D9" s="17"/>
      <c r="E9" s="17"/>
      <c r="F9" s="17"/>
      <c r="G9" s="17"/>
    </row>
    <row r="10" spans="1:7" ht="18.75" hidden="1">
      <c r="A10" s="15" t="s">
        <v>13</v>
      </c>
      <c r="B10" s="18">
        <v>3</v>
      </c>
      <c r="C10" s="17" t="s">
        <v>136</v>
      </c>
      <c r="D10" s="17">
        <v>3</v>
      </c>
      <c r="E10" s="17"/>
      <c r="F10" s="17"/>
      <c r="G10" s="17"/>
    </row>
    <row r="11" spans="1:7" ht="56.25" hidden="1">
      <c r="A11" s="19" t="s">
        <v>14</v>
      </c>
      <c r="B11" s="20" t="s">
        <v>15</v>
      </c>
      <c r="C11" s="20" t="s">
        <v>16</v>
      </c>
      <c r="D11" s="20" t="s">
        <v>17</v>
      </c>
      <c r="E11" s="20" t="s">
        <v>18</v>
      </c>
      <c r="F11" s="17"/>
      <c r="G11" s="17"/>
    </row>
    <row r="12" spans="1:7" ht="18.75" hidden="1">
      <c r="A12" s="15"/>
      <c r="B12" s="18">
        <v>1334</v>
      </c>
      <c r="C12" s="18">
        <v>681</v>
      </c>
      <c r="D12" s="18">
        <v>957</v>
      </c>
      <c r="E12" s="18">
        <v>1058</v>
      </c>
      <c r="F12" s="17"/>
      <c r="G12" s="17"/>
    </row>
    <row r="13" spans="1:7" ht="18.75" hidden="1">
      <c r="A13" s="15" t="s">
        <v>19</v>
      </c>
      <c r="B13" s="21">
        <v>5006.2</v>
      </c>
      <c r="C13" s="17"/>
      <c r="D13" s="17"/>
      <c r="E13" s="17"/>
      <c r="F13" s="17"/>
      <c r="G13" s="17"/>
    </row>
    <row r="14" spans="1:7" ht="18.75" hidden="1">
      <c r="A14" s="15" t="s">
        <v>21</v>
      </c>
      <c r="B14" s="21">
        <v>364</v>
      </c>
      <c r="C14" s="21">
        <v>556.2</v>
      </c>
      <c r="D14" s="21">
        <f>B14+C14</f>
        <v>920.2</v>
      </c>
      <c r="E14" s="17"/>
      <c r="F14" s="17"/>
      <c r="G14" s="17"/>
    </row>
    <row r="15" spans="1:7" ht="48" hidden="1">
      <c r="A15" s="15" t="s">
        <v>22</v>
      </c>
      <c r="B15" s="20" t="s">
        <v>23</v>
      </c>
      <c r="C15" s="22" t="s">
        <v>24</v>
      </c>
      <c r="D15" s="20" t="s">
        <v>25</v>
      </c>
      <c r="E15" s="23" t="s">
        <v>26</v>
      </c>
      <c r="F15" s="18" t="s">
        <v>27</v>
      </c>
      <c r="G15" s="17"/>
    </row>
    <row r="16" spans="1:7" ht="18.75" hidden="1">
      <c r="A16" s="24"/>
      <c r="B16" s="25">
        <v>101</v>
      </c>
      <c r="C16" s="25"/>
      <c r="D16" s="25">
        <v>101</v>
      </c>
      <c r="E16" s="26">
        <f>D16+C16+B16</f>
        <v>202</v>
      </c>
      <c r="F16" s="18"/>
      <c r="G16" s="17"/>
    </row>
    <row r="17" spans="1:7" ht="15.75">
      <c r="A17" s="27" t="s">
        <v>102</v>
      </c>
      <c r="B17" s="27"/>
      <c r="C17" s="27"/>
      <c r="D17" s="27"/>
      <c r="E17" s="27"/>
      <c r="F17" s="27"/>
      <c r="G17" s="28" t="s">
        <v>29</v>
      </c>
    </row>
    <row r="18" spans="1:7" ht="15.75">
      <c r="A18" s="29" t="s">
        <v>30</v>
      </c>
      <c r="B18" s="29"/>
      <c r="C18" s="29"/>
      <c r="D18" s="29"/>
      <c r="E18" s="29"/>
      <c r="F18" s="29"/>
      <c r="G18" s="30">
        <f>B9*7.012*12</f>
        <v>63781.151999999995</v>
      </c>
    </row>
    <row r="19" spans="1:7" ht="15.75" customHeight="1">
      <c r="A19" s="29" t="s">
        <v>31</v>
      </c>
      <c r="B19" s="29"/>
      <c r="C19" s="29"/>
      <c r="D19" s="29"/>
      <c r="E19" s="29"/>
      <c r="F19" s="29"/>
      <c r="G19" s="30">
        <f>B10*35.705*12</f>
        <v>1285.3799999999999</v>
      </c>
    </row>
    <row r="20" spans="1:7" ht="15.75">
      <c r="A20" s="29" t="s">
        <v>85</v>
      </c>
      <c r="B20" s="29"/>
      <c r="C20" s="29"/>
      <c r="D20" s="29"/>
      <c r="E20" s="29"/>
      <c r="F20" s="29"/>
      <c r="G20" s="30">
        <f>B13*0.3613*12</f>
        <v>21704.88072</v>
      </c>
    </row>
    <row r="21" spans="1:7" ht="15.75" customHeight="1">
      <c r="A21" s="29" t="s">
        <v>33</v>
      </c>
      <c r="B21" s="29"/>
      <c r="C21" s="29"/>
      <c r="D21" s="29"/>
      <c r="E21" s="29"/>
      <c r="F21" s="29"/>
      <c r="G21" s="30">
        <f>(B12*9.46/100*189)+(C12*7.09/100*113)+(D12*23.66/100*71)+(E12*1.77/100*12)</f>
        <v>45608.0667</v>
      </c>
    </row>
    <row r="22" spans="1:7" ht="17.25" customHeight="1">
      <c r="A22" s="31" t="s">
        <v>34</v>
      </c>
      <c r="B22" s="31"/>
      <c r="C22" s="31"/>
      <c r="D22" s="31"/>
      <c r="E22" s="31"/>
      <c r="F22" s="31"/>
      <c r="G22" s="32">
        <f>(1014567.18*1.18+308700+213742.08)/244019.8*B3</f>
        <v>41883.720009008124</v>
      </c>
    </row>
    <row r="23" spans="1:7" ht="15.75">
      <c r="A23" s="29" t="s">
        <v>35</v>
      </c>
      <c r="B23" s="29"/>
      <c r="C23" s="29"/>
      <c r="D23" s="29"/>
      <c r="E23" s="29"/>
      <c r="F23" s="29"/>
      <c r="G23" s="30">
        <f>D14*0.135*6</f>
        <v>745.3620000000001</v>
      </c>
    </row>
    <row r="24" spans="1:7" ht="15.75">
      <c r="A24" s="29" t="s">
        <v>36</v>
      </c>
      <c r="B24" s="29"/>
      <c r="C24" s="29"/>
      <c r="D24" s="29"/>
      <c r="E24" s="29"/>
      <c r="F24" s="29"/>
      <c r="G24" s="30">
        <f>114.94+6167.57+948.3+323.27+5431.07</f>
        <v>12985.15</v>
      </c>
    </row>
    <row r="25" spans="1:7" ht="15.75">
      <c r="A25" s="29" t="s">
        <v>37</v>
      </c>
      <c r="B25" s="29"/>
      <c r="C25" s="29"/>
      <c r="D25" s="29"/>
      <c r="E25" s="29"/>
      <c r="F25" s="29"/>
      <c r="G25" s="30">
        <f>B3*0.885*12</f>
        <v>63118.907999999996</v>
      </c>
    </row>
    <row r="26" spans="1:7" ht="15.75">
      <c r="A26" s="29" t="s">
        <v>87</v>
      </c>
      <c r="B26" s="29"/>
      <c r="C26" s="29"/>
      <c r="D26" s="29"/>
      <c r="E26" s="29"/>
      <c r="F26" s="29"/>
      <c r="G26" s="30">
        <f>B3*2.648*4+B3*2.245*8</f>
        <v>169695.95679999999</v>
      </c>
    </row>
    <row r="27" spans="1:7" ht="15.75">
      <c r="A27" s="29" t="s">
        <v>39</v>
      </c>
      <c r="B27" s="29"/>
      <c r="C27" s="29"/>
      <c r="D27" s="29"/>
      <c r="E27" s="29"/>
      <c r="F27" s="29"/>
      <c r="G27" s="30">
        <f>3*2201</f>
        <v>6603</v>
      </c>
    </row>
    <row r="28" spans="1:7" ht="15.75">
      <c r="A28" s="29" t="s">
        <v>40</v>
      </c>
      <c r="B28" s="29"/>
      <c r="C28" s="29"/>
      <c r="D28" s="29"/>
      <c r="E28" s="29"/>
      <c r="F28" s="29"/>
      <c r="G28" s="30">
        <f>1209*3</f>
        <v>3627</v>
      </c>
    </row>
    <row r="29" spans="1:7" ht="15.75">
      <c r="A29" s="29" t="s">
        <v>41</v>
      </c>
      <c r="B29" s="29"/>
      <c r="C29" s="29"/>
      <c r="D29" s="29"/>
      <c r="E29" s="29"/>
      <c r="F29" s="29"/>
      <c r="G29" s="30">
        <v>17197.45</v>
      </c>
    </row>
    <row r="30" spans="1:7" ht="15.75" hidden="1">
      <c r="A30" s="29" t="s">
        <v>42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43</v>
      </c>
      <c r="B31" s="29"/>
      <c r="C31" s="29"/>
      <c r="D31" s="29"/>
      <c r="E31" s="29"/>
      <c r="F31" s="29"/>
      <c r="G31" s="30">
        <v>0</v>
      </c>
    </row>
    <row r="32" spans="1:7" ht="15.75" hidden="1">
      <c r="A32" s="29" t="s">
        <v>44</v>
      </c>
      <c r="B32" s="29"/>
      <c r="C32" s="29"/>
      <c r="D32" s="29"/>
      <c r="E32" s="29"/>
      <c r="F32" s="29"/>
      <c r="G32" s="30">
        <v>0</v>
      </c>
    </row>
    <row r="33" spans="1:7" ht="15.75" customHeight="1">
      <c r="A33" s="29" t="s">
        <v>45</v>
      </c>
      <c r="B33" s="29"/>
      <c r="C33" s="29"/>
      <c r="D33" s="29"/>
      <c r="E33" s="29"/>
      <c r="F33" s="29"/>
      <c r="G33" s="30">
        <f>B3*1.81*6+B3*1.86*6</f>
        <v>130873.66799999998</v>
      </c>
    </row>
    <row r="34" spans="1:7" ht="17.25" customHeight="1">
      <c r="A34" s="31" t="s">
        <v>46</v>
      </c>
      <c r="B34" s="31"/>
      <c r="C34" s="31"/>
      <c r="D34" s="31"/>
      <c r="E34" s="31"/>
      <c r="F34" s="31"/>
      <c r="G34" s="30">
        <f>(F16*4*8.57)+(B16*2*3.14)+(C16*1*3.14)+(D16*1*3.14)</f>
        <v>951.42</v>
      </c>
    </row>
    <row r="35" spans="1:7" ht="15.75">
      <c r="A35" s="29" t="s">
        <v>47</v>
      </c>
      <c r="B35" s="29"/>
      <c r="C35" s="29"/>
      <c r="D35" s="29"/>
      <c r="E35" s="29"/>
      <c r="F35" s="29"/>
      <c r="G35" s="30">
        <f>B3*0.65*12</f>
        <v>46358.520000000004</v>
      </c>
    </row>
    <row r="36" spans="1:7" ht="15.75" customHeight="1">
      <c r="A36" s="29" t="s">
        <v>48</v>
      </c>
      <c r="B36" s="29"/>
      <c r="C36" s="29"/>
      <c r="D36" s="29"/>
      <c r="E36" s="29"/>
      <c r="F36" s="29"/>
      <c r="G36" s="30">
        <f>B3*0.82*12</f>
        <v>58483.056</v>
      </c>
    </row>
    <row r="37" spans="1:7" ht="15.75">
      <c r="A37" s="29" t="s">
        <v>49</v>
      </c>
      <c r="B37" s="29"/>
      <c r="C37" s="29"/>
      <c r="D37" s="29"/>
      <c r="E37" s="29"/>
      <c r="F37" s="29"/>
      <c r="G37" s="30">
        <f>B3*0.9*12</f>
        <v>64188.719999999994</v>
      </c>
    </row>
    <row r="38" spans="1:7" ht="15.75" customHeight="1">
      <c r="A38" s="33" t="s">
        <v>50</v>
      </c>
      <c r="B38" s="33"/>
      <c r="C38" s="33"/>
      <c r="D38" s="33"/>
      <c r="E38" s="33"/>
      <c r="F38" s="33"/>
      <c r="G38" s="39">
        <f>G18+G19+G20+G21+G22+G23+G24+G25+G26+G27+G29+G33+G34+G35+G36+G37+G30+G31+G32+G28</f>
        <v>749091.4102290081</v>
      </c>
    </row>
    <row r="39" spans="1:7" ht="17.25" customHeight="1">
      <c r="A39" s="35" t="s">
        <v>51</v>
      </c>
      <c r="B39" s="35"/>
      <c r="C39" s="35"/>
      <c r="D39" s="35"/>
      <c r="E39" s="35"/>
      <c r="F39" s="35"/>
      <c r="G39" s="36"/>
    </row>
    <row r="40" spans="1:7" ht="15.75" hidden="1">
      <c r="A40" s="29" t="s">
        <v>52</v>
      </c>
      <c r="B40" s="29"/>
      <c r="C40" s="29"/>
      <c r="D40" s="29"/>
      <c r="E40" s="29"/>
      <c r="F40" s="29"/>
      <c r="G40" s="36"/>
    </row>
    <row r="41" spans="1:7" ht="15.75">
      <c r="A41" s="29" t="s">
        <v>53</v>
      </c>
      <c r="B41" s="29"/>
      <c r="C41" s="29"/>
      <c r="D41" s="29"/>
      <c r="E41" s="29"/>
      <c r="F41" s="29"/>
      <c r="G41" s="36"/>
    </row>
    <row r="42" spans="1:7" ht="17.25">
      <c r="A42" s="37" t="s">
        <v>54</v>
      </c>
      <c r="B42" s="37"/>
      <c r="C42" s="37"/>
      <c r="D42" s="37"/>
      <c r="E42" s="37"/>
      <c r="F42" s="37"/>
      <c r="G42" s="36">
        <f>3400.42+1915.42</f>
        <v>5315.84</v>
      </c>
    </row>
    <row r="43" spans="1:7" ht="17.25">
      <c r="A43" s="37" t="s">
        <v>55</v>
      </c>
      <c r="B43" s="37"/>
      <c r="C43" s="37"/>
      <c r="D43" s="37"/>
      <c r="E43" s="37"/>
      <c r="F43" s="37"/>
      <c r="G43" s="36"/>
    </row>
    <row r="44" spans="1:7" ht="17.25" hidden="1">
      <c r="A44" s="37" t="s">
        <v>56</v>
      </c>
      <c r="B44" s="37"/>
      <c r="C44" s="37"/>
      <c r="D44" s="37"/>
      <c r="E44" s="37"/>
      <c r="F44" s="37"/>
      <c r="G44" s="36"/>
    </row>
    <row r="45" spans="1:7" ht="17.25" hidden="1">
      <c r="A45" s="37" t="s">
        <v>57</v>
      </c>
      <c r="B45" s="37"/>
      <c r="C45" s="37"/>
      <c r="D45" s="37"/>
      <c r="E45" s="37"/>
      <c r="F45" s="37"/>
      <c r="G45" s="36"/>
    </row>
    <row r="46" spans="1:7" ht="17.25" hidden="1">
      <c r="A46" s="37" t="s">
        <v>58</v>
      </c>
      <c r="B46" s="37"/>
      <c r="C46" s="37"/>
      <c r="D46" s="37"/>
      <c r="E46" s="37"/>
      <c r="F46" s="37"/>
      <c r="G46" s="36"/>
    </row>
    <row r="47" spans="1:7" ht="16.5">
      <c r="A47" s="37" t="s">
        <v>59</v>
      </c>
      <c r="B47" s="37"/>
      <c r="C47" s="37"/>
      <c r="D47" s="37"/>
      <c r="E47" s="37"/>
      <c r="F47" s="37"/>
      <c r="G47" s="36"/>
    </row>
    <row r="48" spans="1:7" ht="16.5">
      <c r="A48" s="37" t="s">
        <v>60</v>
      </c>
      <c r="B48" s="37"/>
      <c r="C48" s="37"/>
      <c r="D48" s="37"/>
      <c r="E48" s="37"/>
      <c r="F48" s="37"/>
      <c r="G48" s="36">
        <f>845.68+1738.72</f>
        <v>2584.4</v>
      </c>
    </row>
    <row r="49" spans="1:7" ht="16.5" hidden="1">
      <c r="A49" s="37" t="s">
        <v>61</v>
      </c>
      <c r="B49" s="37"/>
      <c r="C49" s="37"/>
      <c r="D49" s="37"/>
      <c r="E49" s="37"/>
      <c r="F49" s="37"/>
      <c r="G49" s="36"/>
    </row>
    <row r="50" spans="1:7" ht="17.25">
      <c r="A50" s="37" t="s">
        <v>62</v>
      </c>
      <c r="B50" s="37"/>
      <c r="C50" s="37"/>
      <c r="D50" s="37"/>
      <c r="E50" s="37"/>
      <c r="F50" s="37"/>
      <c r="G50" s="36">
        <f>1938.83+635.89+728.51</f>
        <v>3303.2299999999996</v>
      </c>
    </row>
    <row r="51" spans="1:7" ht="17.25" hidden="1">
      <c r="A51" s="37" t="s">
        <v>63</v>
      </c>
      <c r="B51" s="37"/>
      <c r="C51" s="37"/>
      <c r="D51" s="37"/>
      <c r="E51" s="37"/>
      <c r="F51" s="37"/>
      <c r="G51" s="36"/>
    </row>
    <row r="52" spans="1:7" ht="17.25">
      <c r="A52" s="37" t="s">
        <v>64</v>
      </c>
      <c r="B52" s="37"/>
      <c r="C52" s="37"/>
      <c r="D52" s="37"/>
      <c r="E52" s="37"/>
      <c r="F52" s="37"/>
      <c r="G52" s="36">
        <v>95294.43</v>
      </c>
    </row>
    <row r="53" spans="1:7" ht="17.25" customHeight="1">
      <c r="A53" s="37" t="s">
        <v>65</v>
      </c>
      <c r="B53" s="37"/>
      <c r="C53" s="37"/>
      <c r="D53" s="37"/>
      <c r="E53" s="37"/>
      <c r="F53" s="37"/>
      <c r="G53" s="36">
        <v>41156.16</v>
      </c>
    </row>
    <row r="54" spans="1:7" ht="15.75" customHeight="1" hidden="1">
      <c r="A54" s="37" t="s">
        <v>66</v>
      </c>
      <c r="B54" s="37"/>
      <c r="C54" s="37"/>
      <c r="D54" s="37"/>
      <c r="E54" s="37"/>
      <c r="F54" s="37"/>
      <c r="G54" s="36"/>
    </row>
    <row r="55" spans="1:7" ht="15.75" customHeight="1" hidden="1">
      <c r="A55" s="37" t="s">
        <v>67</v>
      </c>
      <c r="B55" s="37"/>
      <c r="C55" s="37"/>
      <c r="D55" s="37"/>
      <c r="E55" s="37"/>
      <c r="F55" s="37"/>
      <c r="G55" s="36"/>
    </row>
    <row r="56" spans="1:7" ht="18.75" customHeight="1">
      <c r="A56" s="38" t="s">
        <v>68</v>
      </c>
      <c r="B56" s="38"/>
      <c r="C56" s="38"/>
      <c r="D56" s="38"/>
      <c r="E56" s="38"/>
      <c r="F56" s="38"/>
      <c r="G56" s="39">
        <f>G42+G43+G44+G45+G46+G47+G48+G49+G50+G51+G52+G53+G54+G55</f>
        <v>147654.06</v>
      </c>
    </row>
    <row r="57" spans="1:7" ht="17.25" customHeight="1">
      <c r="A57" s="38" t="s">
        <v>69</v>
      </c>
      <c r="B57" s="38"/>
      <c r="C57" s="38"/>
      <c r="D57" s="38"/>
      <c r="E57" s="38"/>
      <c r="F57" s="38"/>
      <c r="G57" s="39">
        <f>G38+G56</f>
        <v>896745.470229008</v>
      </c>
    </row>
    <row r="58" spans="1:7" ht="15.75" customHeight="1">
      <c r="A58" s="29" t="s">
        <v>70</v>
      </c>
      <c r="B58" s="29"/>
      <c r="C58" s="29"/>
      <c r="D58" s="29"/>
      <c r="E58" s="29"/>
      <c r="F58" s="29"/>
      <c r="G58" s="36">
        <f>-3430.3-2878.19</f>
        <v>-6308.49</v>
      </c>
    </row>
    <row r="59" spans="1:7" ht="15.75" hidden="1">
      <c r="A59" s="72" t="s">
        <v>188</v>
      </c>
      <c r="B59" s="72"/>
      <c r="C59" s="72"/>
      <c r="D59" s="72"/>
      <c r="E59" s="72"/>
      <c r="F59" s="72"/>
      <c r="G59" s="36">
        <v>0</v>
      </c>
    </row>
    <row r="60" spans="1:7" ht="15.75" customHeight="1">
      <c r="A60" s="40" t="s">
        <v>147</v>
      </c>
      <c r="B60" s="40"/>
      <c r="C60" s="40"/>
      <c r="D60" s="40"/>
      <c r="E60" s="40"/>
      <c r="F60" s="40"/>
      <c r="G60" s="39">
        <f>B5*B3*4+B6*B3*2+B7*B3*5+B8*B3*1+G61</f>
        <v>935090.554</v>
      </c>
    </row>
    <row r="61" spans="1:7" ht="15.75" customHeight="1">
      <c r="A61" s="41" t="s">
        <v>144</v>
      </c>
      <c r="B61" s="41"/>
      <c r="C61" s="41"/>
      <c r="D61" s="41"/>
      <c r="E61" s="41"/>
      <c r="F61" s="41"/>
      <c r="G61" s="36">
        <f>180*1*12+141.6*1*12+160*1*12+215.6*1*12+141.6*2*12+269*1*12</f>
        <v>14992.8</v>
      </c>
    </row>
    <row r="62" spans="1:7" ht="19.5" customHeight="1">
      <c r="A62" s="42" t="s">
        <v>73</v>
      </c>
      <c r="B62" s="42"/>
      <c r="C62" s="42"/>
      <c r="D62" s="42"/>
      <c r="E62" s="42"/>
      <c r="F62" s="42"/>
      <c r="G62" s="47">
        <v>36713.61</v>
      </c>
    </row>
    <row r="63" spans="1:7" ht="59.25" customHeight="1">
      <c r="A63" s="44" t="s">
        <v>74</v>
      </c>
      <c r="B63" s="44"/>
      <c r="C63" s="44"/>
      <c r="D63" s="44"/>
      <c r="E63" s="44"/>
      <c r="F63" s="44"/>
      <c r="G63" s="73">
        <f>G57-G60+G62-G58+G59</f>
        <v>4677.016229007999</v>
      </c>
    </row>
    <row r="65" ht="21.75" customHeight="1"/>
    <row r="67" ht="15.75">
      <c r="A67" s="1" t="s">
        <v>75</v>
      </c>
    </row>
  </sheetData>
  <sheetProtection selectLockedCells="1" selectUnlockedCells="1"/>
  <mergeCells count="49">
    <mergeCell ref="A1:G1"/>
    <mergeCell ref="B2:E2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</mergeCells>
  <printOptions/>
  <pageMargins left="0.39375" right="0" top="0.19652777777777777" bottom="0" header="0.5118055555555555" footer="0.5118055555555555"/>
  <pageSetup horizontalDpi="300" verticalDpi="300" orientation="portrait" paperSize="9" scale="9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1"/>
  </sheetPr>
  <dimension ref="A1:G67"/>
  <sheetViews>
    <sheetView zoomScale="75" zoomScaleNormal="75" workbookViewId="0" topLeftCell="A1">
      <selection activeCell="G61" sqref="G61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19.140625" style="1" customWidth="1"/>
    <col min="7" max="7" width="14.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49.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189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4361.5</v>
      </c>
      <c r="F3" s="8" t="s">
        <v>5</v>
      </c>
      <c r="G3" s="11">
        <v>6</v>
      </c>
    </row>
    <row r="4" spans="1:7" ht="18.75">
      <c r="A4" s="12" t="s">
        <v>6</v>
      </c>
      <c r="B4" s="46">
        <v>11.39</v>
      </c>
      <c r="C4" s="1" t="s">
        <v>93</v>
      </c>
      <c r="F4" s="8" t="s">
        <v>8</v>
      </c>
      <c r="G4" s="9">
        <v>1968</v>
      </c>
    </row>
    <row r="5" spans="1:7" ht="18.75">
      <c r="A5" s="12" t="s">
        <v>6</v>
      </c>
      <c r="B5" s="46">
        <v>11.54</v>
      </c>
      <c r="C5" s="1" t="s">
        <v>94</v>
      </c>
      <c r="F5" s="8"/>
      <c r="G5" s="9"/>
    </row>
    <row r="6" spans="1:7" ht="18.75">
      <c r="A6" s="12" t="s">
        <v>6</v>
      </c>
      <c r="B6" s="46">
        <v>11.59</v>
      </c>
      <c r="C6" s="1" t="s">
        <v>10</v>
      </c>
      <c r="F6" s="8"/>
      <c r="G6" s="9"/>
    </row>
    <row r="7" spans="1:3" ht="18.75">
      <c r="A7" s="12" t="s">
        <v>6</v>
      </c>
      <c r="B7" s="46">
        <v>12.14</v>
      </c>
      <c r="C7" s="1" t="s">
        <v>95</v>
      </c>
    </row>
    <row r="8" spans="1:7" ht="18.75" hidden="1">
      <c r="A8" s="15" t="s">
        <v>12</v>
      </c>
      <c r="B8" s="16">
        <v>483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1286</v>
      </c>
      <c r="C11" s="18">
        <v>1252</v>
      </c>
      <c r="D11" s="18">
        <v>1089</v>
      </c>
      <c r="E11" s="18">
        <v>1449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1108.3</v>
      </c>
      <c r="C13" s="21">
        <v>872.3</v>
      </c>
      <c r="D13" s="21">
        <f>B13+C13</f>
        <v>1980.6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90</v>
      </c>
      <c r="C15" s="25"/>
      <c r="D15" s="25">
        <v>90</v>
      </c>
      <c r="E15" s="26">
        <f>D15+C15+B15</f>
        <v>180</v>
      </c>
      <c r="F15" s="18"/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0">
        <f>B8*8.689*12</f>
        <v>50361.444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0">
        <f>B9*35.705*12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0">
        <f>B12*0.3613*12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0">
        <f>(B11*12.84/100*189)+(C11*9.63/100*113)+(D11*32.11/100*71)+(E11*2.41/100*12)</f>
        <v>70078.4541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30735.91628012399</v>
      </c>
    </row>
    <row r="22" spans="1:7" ht="15.75">
      <c r="A22" s="29" t="s">
        <v>35</v>
      </c>
      <c r="B22" s="29"/>
      <c r="C22" s="29"/>
      <c r="D22" s="29"/>
      <c r="E22" s="29"/>
      <c r="F22" s="29"/>
      <c r="G22" s="30">
        <f>D13*0.135*6</f>
        <v>1604.286</v>
      </c>
    </row>
    <row r="23" spans="1:7" ht="15.75">
      <c r="A23" s="29" t="s">
        <v>36</v>
      </c>
      <c r="B23" s="29"/>
      <c r="C23" s="29"/>
      <c r="D23" s="29"/>
      <c r="E23" s="29"/>
      <c r="F23" s="29"/>
      <c r="G23" s="30">
        <f>114.94+5495.85+1099.17+474.15+5948.26</f>
        <v>13132.369999999999</v>
      </c>
    </row>
    <row r="24" spans="1:7" ht="15.75">
      <c r="A24" s="29" t="s">
        <v>37</v>
      </c>
      <c r="B24" s="29"/>
      <c r="C24" s="29"/>
      <c r="D24" s="29"/>
      <c r="E24" s="29"/>
      <c r="F24" s="29"/>
      <c r="G24" s="30">
        <f>B3*0.885*12</f>
        <v>46319.130000000005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5.75">
      <c r="A28" s="29" t="s">
        <v>41</v>
      </c>
      <c r="B28" s="29"/>
      <c r="C28" s="29"/>
      <c r="D28" s="29"/>
      <c r="E28" s="29"/>
      <c r="F28" s="29"/>
      <c r="G28" s="30">
        <v>12973.45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0">
        <f>B3*1.81*6+B3*1.86*6</f>
        <v>96040.23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847.8000000000001</v>
      </c>
    </row>
    <row r="34" spans="1:7" ht="15.75">
      <c r="A34" s="29" t="s">
        <v>47</v>
      </c>
      <c r="B34" s="29"/>
      <c r="C34" s="29"/>
      <c r="D34" s="29"/>
      <c r="E34" s="29"/>
      <c r="F34" s="29"/>
      <c r="G34" s="30">
        <f>B3*0.65*12</f>
        <v>34019.7</v>
      </c>
    </row>
    <row r="35" spans="1:7" ht="15.75">
      <c r="A35" s="29" t="s">
        <v>48</v>
      </c>
      <c r="B35" s="29"/>
      <c r="C35" s="29"/>
      <c r="D35" s="29"/>
      <c r="E35" s="29"/>
      <c r="F35" s="29"/>
      <c r="G35" s="30">
        <f>B3*0.82*12</f>
        <v>42917.16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B3*0.9*12</f>
        <v>47104.2</v>
      </c>
    </row>
    <row r="37" spans="1:7" ht="15.7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446134.14038012404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5.75" hidden="1">
      <c r="A39" s="29" t="s">
        <v>52</v>
      </c>
      <c r="B39" s="29"/>
      <c r="C39" s="29"/>
      <c r="D39" s="29"/>
      <c r="E39" s="29"/>
      <c r="F39" s="29"/>
      <c r="G39" s="36">
        <f>B3*2.96*12</f>
        <v>154920.47999999998</v>
      </c>
    </row>
    <row r="40" spans="1:7" ht="15.75">
      <c r="A40" s="29" t="s">
        <v>53</v>
      </c>
      <c r="B40" s="29"/>
      <c r="C40" s="29"/>
      <c r="D40" s="29"/>
      <c r="E40" s="29"/>
      <c r="F40" s="29"/>
      <c r="G40" s="36"/>
    </row>
    <row r="41" spans="1:7" ht="16.5">
      <c r="A41" s="37" t="s">
        <v>54</v>
      </c>
      <c r="B41" s="37"/>
      <c r="C41" s="37"/>
      <c r="D41" s="37"/>
      <c r="E41" s="37"/>
      <c r="F41" s="37"/>
      <c r="G41" s="30">
        <v>2601.46</v>
      </c>
    </row>
    <row r="42" spans="1:7" ht="16.5">
      <c r="A42" s="37" t="s">
        <v>55</v>
      </c>
      <c r="B42" s="37"/>
      <c r="C42" s="37"/>
      <c r="D42" s="37"/>
      <c r="E42" s="37"/>
      <c r="F42" s="37"/>
      <c r="G42" s="30">
        <v>3909.34</v>
      </c>
    </row>
    <row r="43" spans="1:7" ht="16.5">
      <c r="A43" s="37" t="s">
        <v>56</v>
      </c>
      <c r="B43" s="37"/>
      <c r="C43" s="37"/>
      <c r="D43" s="37"/>
      <c r="E43" s="37"/>
      <c r="F43" s="37"/>
      <c r="G43" s="30"/>
    </row>
    <row r="44" spans="1:7" ht="16.5" hidden="1">
      <c r="A44" s="37" t="s">
        <v>57</v>
      </c>
      <c r="B44" s="37"/>
      <c r="C44" s="37"/>
      <c r="D44" s="37"/>
      <c r="E44" s="37"/>
      <c r="F44" s="37"/>
      <c r="G44" s="30"/>
    </row>
    <row r="45" spans="1:7" ht="16.5" hidden="1">
      <c r="A45" s="37" t="s">
        <v>58</v>
      </c>
      <c r="B45" s="37"/>
      <c r="C45" s="37"/>
      <c r="D45" s="37"/>
      <c r="E45" s="37"/>
      <c r="F45" s="37"/>
      <c r="G45" s="30"/>
    </row>
    <row r="46" spans="1:7" ht="16.5">
      <c r="A46" s="37" t="s">
        <v>59</v>
      </c>
      <c r="B46" s="37"/>
      <c r="C46" s="37"/>
      <c r="D46" s="37"/>
      <c r="E46" s="37"/>
      <c r="F46" s="37"/>
      <c r="G46" s="30">
        <f>1010.17+2692.46</f>
        <v>3702.63</v>
      </c>
    </row>
    <row r="47" spans="1:7" ht="16.5">
      <c r="A47" s="37" t="s">
        <v>60</v>
      </c>
      <c r="B47" s="37"/>
      <c r="C47" s="37"/>
      <c r="D47" s="37"/>
      <c r="E47" s="37"/>
      <c r="F47" s="37"/>
      <c r="G47" s="30">
        <f>42.09+42.08+2215.74+724.56+2289.94</f>
        <v>5314.41</v>
      </c>
    </row>
    <row r="48" spans="1:7" ht="16.5">
      <c r="A48" s="37" t="s">
        <v>61</v>
      </c>
      <c r="B48" s="37"/>
      <c r="C48" s="37"/>
      <c r="D48" s="37"/>
      <c r="E48" s="37"/>
      <c r="F48" s="37"/>
      <c r="G48" s="30">
        <f>3536.26+2520.06+2520.06+2520.06</f>
        <v>11096.439999999999</v>
      </c>
    </row>
    <row r="49" spans="1:7" ht="16.5" hidden="1">
      <c r="A49" s="37" t="s">
        <v>62</v>
      </c>
      <c r="B49" s="37"/>
      <c r="C49" s="37"/>
      <c r="D49" s="37"/>
      <c r="E49" s="37"/>
      <c r="F49" s="37"/>
      <c r="G49" s="30"/>
    </row>
    <row r="50" spans="1:7" ht="16.5">
      <c r="A50" s="37" t="s">
        <v>190</v>
      </c>
      <c r="B50" s="37"/>
      <c r="C50" s="37"/>
      <c r="D50" s="37"/>
      <c r="E50" s="37"/>
      <c r="F50" s="37"/>
      <c r="G50" s="30">
        <v>701908.25</v>
      </c>
    </row>
    <row r="51" spans="1:7" ht="16.5">
      <c r="A51" s="37" t="s">
        <v>191</v>
      </c>
      <c r="B51" s="37"/>
      <c r="C51" s="37"/>
      <c r="D51" s="37"/>
      <c r="E51" s="37"/>
      <c r="F51" s="37"/>
      <c r="G51" s="30">
        <v>78892.48</v>
      </c>
    </row>
    <row r="52" spans="1:7" ht="17.25">
      <c r="A52" s="37" t="s">
        <v>65</v>
      </c>
      <c r="B52" s="37"/>
      <c r="C52" s="37"/>
      <c r="D52" s="37"/>
      <c r="E52" s="37"/>
      <c r="F52" s="37"/>
      <c r="G52" s="30">
        <v>23449.44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830874.45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1277008.590380124</v>
      </c>
    </row>
    <row r="57" spans="1:7" ht="15.75">
      <c r="A57" s="29" t="s">
        <v>70</v>
      </c>
      <c r="B57" s="29"/>
      <c r="C57" s="29"/>
      <c r="D57" s="29"/>
      <c r="E57" s="29"/>
      <c r="F57" s="29"/>
      <c r="G57" s="36">
        <f>-5467.2-3770.47-2295.98-2827.83</f>
        <v>-14361.48</v>
      </c>
    </row>
    <row r="58" spans="1:7" ht="15.75" customHeight="1">
      <c r="A58" s="40" t="s">
        <v>147</v>
      </c>
      <c r="B58" s="40"/>
      <c r="C58" s="40"/>
      <c r="D58" s="40"/>
      <c r="E58" s="40"/>
      <c r="F58" s="40"/>
      <c r="G58" s="34">
        <f>B3*B4*4+B3*B5*2+B3*B6*5+B3*B7*1+G59</f>
        <v>623291.695</v>
      </c>
    </row>
    <row r="59" spans="1:7" ht="15.75">
      <c r="A59" s="41" t="s">
        <v>144</v>
      </c>
      <c r="B59" s="41"/>
      <c r="C59" s="41"/>
      <c r="D59" s="41"/>
      <c r="E59" s="41"/>
      <c r="F59" s="41"/>
      <c r="G59" s="34">
        <f>180*1*12+141.6*1*12+160*1*12+215.6*1*12+141.6*2*12+269*2*12</f>
        <v>18220.8</v>
      </c>
    </row>
    <row r="60" spans="1:7" ht="15.75" customHeight="1">
      <c r="A60" s="42" t="s">
        <v>73</v>
      </c>
      <c r="B60" s="42"/>
      <c r="C60" s="42"/>
      <c r="D60" s="42"/>
      <c r="E60" s="42"/>
      <c r="F60" s="42"/>
      <c r="G60" s="47">
        <v>42773.87</v>
      </c>
    </row>
    <row r="61" spans="1:7" ht="72.75" customHeight="1">
      <c r="A61" s="44" t="s">
        <v>74</v>
      </c>
      <c r="B61" s="44"/>
      <c r="C61" s="44"/>
      <c r="D61" s="44"/>
      <c r="E61" s="44"/>
      <c r="F61" s="44"/>
      <c r="G61" s="45">
        <f>G56-G58+G60-G57</f>
        <v>710852.2453801241</v>
      </c>
    </row>
    <row r="64" spans="1:7" ht="16.5">
      <c r="A64" s="74" t="s">
        <v>192</v>
      </c>
      <c r="B64" s="75"/>
      <c r="C64" s="75"/>
      <c r="D64" s="75"/>
      <c r="E64" s="75"/>
      <c r="F64" s="75"/>
      <c r="G64" s="75"/>
    </row>
    <row r="67" ht="15.75">
      <c r="A67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6326388888888889" right="0" top="0.37222222222222223" bottom="0" header="0.5118055555555555" footer="0.5118055555555555"/>
  <pageSetup horizontalDpi="300" verticalDpi="300" orientation="portrait" paperSize="9" scale="95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5"/>
  </sheetPr>
  <dimension ref="A1:G65"/>
  <sheetViews>
    <sheetView zoomScale="75" zoomScaleNormal="75" workbookViewId="0" topLeftCell="A1">
      <selection activeCell="G61" sqref="G61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4" width="9.140625" style="1" customWidth="1"/>
    <col min="5" max="5" width="8.140625" style="1" customWidth="1"/>
    <col min="6" max="6" width="21.421875" style="1" customWidth="1"/>
    <col min="7" max="7" width="14.851562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1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193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5754.8</v>
      </c>
      <c r="F3" s="8" t="s">
        <v>5</v>
      </c>
      <c r="G3" s="11">
        <v>8</v>
      </c>
    </row>
    <row r="4" spans="1:7" ht="18.75">
      <c r="A4" s="12" t="s">
        <v>6</v>
      </c>
      <c r="B4" s="46">
        <v>9.59</v>
      </c>
      <c r="C4" s="1" t="s">
        <v>93</v>
      </c>
      <c r="F4" s="8" t="s">
        <v>8</v>
      </c>
      <c r="G4" s="9">
        <v>1968</v>
      </c>
    </row>
    <row r="5" spans="1:7" ht="18.75">
      <c r="A5" s="12" t="s">
        <v>6</v>
      </c>
      <c r="B5" s="46">
        <v>9.74</v>
      </c>
      <c r="C5" s="1" t="s">
        <v>94</v>
      </c>
      <c r="F5" s="8"/>
      <c r="G5" s="9"/>
    </row>
    <row r="6" spans="1:7" ht="18.75">
      <c r="A6" s="12" t="s">
        <v>6</v>
      </c>
      <c r="B6" s="46">
        <v>9.79</v>
      </c>
      <c r="C6" s="1" t="s">
        <v>10</v>
      </c>
      <c r="F6" s="8"/>
      <c r="G6" s="9"/>
    </row>
    <row r="7" spans="1:3" ht="18.75">
      <c r="A7" s="12" t="s">
        <v>6</v>
      </c>
      <c r="B7" s="46">
        <v>10.21</v>
      </c>
      <c r="C7" s="1" t="s">
        <v>95</v>
      </c>
    </row>
    <row r="8" spans="1:7" ht="18.75" hidden="1">
      <c r="A8" s="15" t="s">
        <v>12</v>
      </c>
      <c r="B8" s="16">
        <v>588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1735</v>
      </c>
      <c r="C11" s="18">
        <v>1460</v>
      </c>
      <c r="D11" s="18">
        <v>716</v>
      </c>
      <c r="E11" s="18">
        <v>2479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1455.6</v>
      </c>
      <c r="C13" s="21">
        <v>1151</v>
      </c>
      <c r="D13" s="21">
        <f>B13+C13</f>
        <v>2606.6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119</v>
      </c>
      <c r="C15" s="25"/>
      <c r="D15" s="25">
        <v>119</v>
      </c>
      <c r="E15" s="26">
        <f>D15+C15+B15</f>
        <v>238</v>
      </c>
      <c r="F15" s="18"/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0">
        <f>B8*7.012*12</f>
        <v>49476.67199999999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0">
        <f>B9*35.705*12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0">
        <f>B12*0.3613*12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0">
        <f>(B11*9.46/100*189)+(C11*7.09/100*113)+(D11*23.66/100*71)+(E11*1.77/100*12)</f>
        <v>55272.1782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40554.637397422346</v>
      </c>
    </row>
    <row r="22" spans="1:7" ht="15.75">
      <c r="A22" s="29" t="s">
        <v>35</v>
      </c>
      <c r="B22" s="29"/>
      <c r="C22" s="29"/>
      <c r="D22" s="29"/>
      <c r="E22" s="29"/>
      <c r="F22" s="29"/>
      <c r="G22" s="30">
        <f>D13*0.135*6</f>
        <v>2111.346</v>
      </c>
    </row>
    <row r="23" spans="1:7" ht="15.75">
      <c r="A23" s="29" t="s">
        <v>36</v>
      </c>
      <c r="B23" s="29"/>
      <c r="C23" s="29"/>
      <c r="D23" s="29"/>
      <c r="E23" s="29"/>
      <c r="F23" s="29"/>
      <c r="G23" s="30">
        <f>114.94+7266.74+1465.56+862.06+7931.02</f>
        <v>17640.32</v>
      </c>
    </row>
    <row r="24" spans="1:7" ht="15.75">
      <c r="A24" s="29" t="s">
        <v>37</v>
      </c>
      <c r="B24" s="29"/>
      <c r="C24" s="29"/>
      <c r="D24" s="29"/>
      <c r="E24" s="29"/>
      <c r="F24" s="29"/>
      <c r="G24" s="30">
        <f>B3*0.885*12</f>
        <v>61115.97600000001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5.75">
      <c r="A28" s="29" t="s">
        <v>41</v>
      </c>
      <c r="B28" s="29"/>
      <c r="C28" s="29"/>
      <c r="D28" s="29"/>
      <c r="E28" s="29"/>
      <c r="F28" s="29"/>
      <c r="G28" s="30">
        <v>12703.89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0">
        <f>B3*1.81*6+B3*1.86*6</f>
        <v>126720.696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1120.98</v>
      </c>
    </row>
    <row r="34" spans="1:7" ht="15.75">
      <c r="A34" s="29" t="s">
        <v>47</v>
      </c>
      <c r="B34" s="29"/>
      <c r="C34" s="29"/>
      <c r="D34" s="29"/>
      <c r="E34" s="29"/>
      <c r="F34" s="29"/>
      <c r="G34" s="30">
        <f>B3*0.65*12</f>
        <v>44887.44</v>
      </c>
    </row>
    <row r="35" spans="1:7" ht="15.75">
      <c r="A35" s="29" t="s">
        <v>48</v>
      </c>
      <c r="B35" s="29"/>
      <c r="C35" s="29"/>
      <c r="D35" s="29"/>
      <c r="E35" s="29"/>
      <c r="F35" s="29"/>
      <c r="G35" s="30">
        <f>B3*0.82*12</f>
        <v>56627.232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B3*0.9*12</f>
        <v>62151.84000000001</v>
      </c>
    </row>
    <row r="37" spans="1:7" ht="15.7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530383.2075974223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5.75" hidden="1">
      <c r="A39" s="29" t="s">
        <v>52</v>
      </c>
      <c r="B39" s="29"/>
      <c r="C39" s="29"/>
      <c r="D39" s="29"/>
      <c r="E39" s="29"/>
      <c r="F39" s="29"/>
      <c r="G39" s="30">
        <f>B3*2.96*12</f>
        <v>204410.49599999998</v>
      </c>
    </row>
    <row r="40" spans="1:7" ht="15.75">
      <c r="A40" s="29" t="s">
        <v>53</v>
      </c>
      <c r="B40" s="29"/>
      <c r="C40" s="29"/>
      <c r="D40" s="29"/>
      <c r="E40" s="29"/>
      <c r="F40" s="29"/>
      <c r="G40" s="30"/>
    </row>
    <row r="41" spans="1:7" ht="16.5">
      <c r="A41" s="37" t="s">
        <v>54</v>
      </c>
      <c r="B41" s="37"/>
      <c r="C41" s="37"/>
      <c r="D41" s="37"/>
      <c r="E41" s="37"/>
      <c r="F41" s="37"/>
      <c r="G41" s="30">
        <f>9799.06+11525.63+10374.87</f>
        <v>31699.559999999998</v>
      </c>
    </row>
    <row r="42" spans="1:7" ht="16.5">
      <c r="A42" s="37" t="s">
        <v>55</v>
      </c>
      <c r="B42" s="37"/>
      <c r="C42" s="37"/>
      <c r="D42" s="37"/>
      <c r="E42" s="37"/>
      <c r="F42" s="37"/>
      <c r="G42" s="30">
        <f>938.65+8090.13</f>
        <v>9028.78</v>
      </c>
    </row>
    <row r="43" spans="1:7" ht="16.5">
      <c r="A43" s="37" t="s">
        <v>56</v>
      </c>
      <c r="B43" s="37"/>
      <c r="C43" s="37"/>
      <c r="D43" s="37"/>
      <c r="E43" s="37"/>
      <c r="F43" s="37"/>
      <c r="G43" s="30"/>
    </row>
    <row r="44" spans="1:7" ht="16.5" hidden="1">
      <c r="A44" s="37" t="s">
        <v>57</v>
      </c>
      <c r="B44" s="37"/>
      <c r="C44" s="37"/>
      <c r="D44" s="37"/>
      <c r="E44" s="37"/>
      <c r="F44" s="37"/>
      <c r="G44" s="30"/>
    </row>
    <row r="45" spans="1:7" ht="16.5" hidden="1">
      <c r="A45" s="37" t="s">
        <v>58</v>
      </c>
      <c r="B45" s="37"/>
      <c r="C45" s="37"/>
      <c r="D45" s="37"/>
      <c r="E45" s="37"/>
      <c r="F45" s="37"/>
      <c r="G45" s="30"/>
    </row>
    <row r="46" spans="1:7" ht="16.5">
      <c r="A46" s="37" t="s">
        <v>59</v>
      </c>
      <c r="B46" s="37"/>
      <c r="C46" s="37"/>
      <c r="D46" s="37"/>
      <c r="E46" s="37"/>
      <c r="F46" s="37"/>
      <c r="G46" s="30">
        <v>1571.39</v>
      </c>
    </row>
    <row r="47" spans="1:7" ht="16.5">
      <c r="A47" s="37" t="s">
        <v>60</v>
      </c>
      <c r="B47" s="37"/>
      <c r="C47" s="37"/>
      <c r="D47" s="37"/>
      <c r="E47" s="37"/>
      <c r="F47" s="37"/>
      <c r="G47" s="30">
        <f>42.08+42.08+2671.84</f>
        <v>2756</v>
      </c>
    </row>
    <row r="48" spans="1:7" ht="16.5">
      <c r="A48" s="37" t="s">
        <v>61</v>
      </c>
      <c r="B48" s="37"/>
      <c r="C48" s="37"/>
      <c r="D48" s="37"/>
      <c r="E48" s="37"/>
      <c r="F48" s="37"/>
      <c r="G48" s="30">
        <f>2520.06+2520.06</f>
        <v>5040.12</v>
      </c>
    </row>
    <row r="49" spans="1:7" ht="16.5">
      <c r="A49" s="37" t="s">
        <v>62</v>
      </c>
      <c r="B49" s="37"/>
      <c r="C49" s="37"/>
      <c r="D49" s="37"/>
      <c r="E49" s="37"/>
      <c r="F49" s="37"/>
      <c r="G49" s="30">
        <v>736.89</v>
      </c>
    </row>
    <row r="50" spans="1:7" ht="16.5">
      <c r="A50" s="37" t="s">
        <v>125</v>
      </c>
      <c r="B50" s="37"/>
      <c r="C50" s="37"/>
      <c r="D50" s="37"/>
      <c r="E50" s="37"/>
      <c r="F50" s="37"/>
      <c r="G50" s="30">
        <v>3912.79</v>
      </c>
    </row>
    <row r="51" spans="1:7" ht="16.5" hidden="1">
      <c r="A51" s="37" t="s">
        <v>64</v>
      </c>
      <c r="B51" s="37"/>
      <c r="C51" s="37"/>
      <c r="D51" s="37"/>
      <c r="E51" s="37"/>
      <c r="F51" s="37"/>
      <c r="G51" s="30"/>
    </row>
    <row r="52" spans="1:7" ht="16.5">
      <c r="A52" s="37" t="s">
        <v>65</v>
      </c>
      <c r="B52" s="37"/>
      <c r="C52" s="37"/>
      <c r="D52" s="37"/>
      <c r="E52" s="37"/>
      <c r="F52" s="37"/>
      <c r="G52" s="30">
        <v>42591.84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97337.37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4">
        <f>G37+G55</f>
        <v>627720.5775974223</v>
      </c>
    </row>
    <row r="57" spans="1:7" ht="15.75">
      <c r="A57" s="29" t="s">
        <v>70</v>
      </c>
      <c r="B57" s="29"/>
      <c r="C57" s="29"/>
      <c r="D57" s="29"/>
      <c r="E57" s="29"/>
      <c r="F57" s="29"/>
      <c r="G57" s="30">
        <f>-6588.64-1817.57-2766.88-3407.96</f>
        <v>-14581.05</v>
      </c>
    </row>
    <row r="58" spans="1:7" ht="15.75" customHeight="1">
      <c r="A58" s="40" t="s">
        <v>147</v>
      </c>
      <c r="B58" s="40"/>
      <c r="C58" s="40"/>
      <c r="D58" s="40"/>
      <c r="E58" s="40"/>
      <c r="F58" s="40"/>
      <c r="G58" s="34">
        <f>B3*B4*4+B3*B5*2+B3*B6*5+B3*B7*1+G59</f>
        <v>694119.6</v>
      </c>
    </row>
    <row r="59" spans="1:7" ht="16.5">
      <c r="A59" s="41" t="s">
        <v>144</v>
      </c>
      <c r="B59" s="41"/>
      <c r="C59" s="41"/>
      <c r="D59" s="41"/>
      <c r="E59" s="41"/>
      <c r="F59" s="41"/>
      <c r="G59" s="34">
        <f>180*1*12+141.6*1*12+160*1*12+215.6*2*12+141.6*2*12+269*2*12</f>
        <v>20808</v>
      </c>
    </row>
    <row r="60" spans="1:7" ht="21" customHeight="1">
      <c r="A60" s="42" t="s">
        <v>73</v>
      </c>
      <c r="B60" s="42"/>
      <c r="C60" s="42"/>
      <c r="D60" s="42"/>
      <c r="E60" s="42"/>
      <c r="F60" s="42"/>
      <c r="G60" s="43">
        <v>56624.76</v>
      </c>
    </row>
    <row r="61" spans="1:7" ht="70.5" customHeight="1">
      <c r="A61" s="44" t="s">
        <v>74</v>
      </c>
      <c r="B61" s="44"/>
      <c r="C61" s="44"/>
      <c r="D61" s="44"/>
      <c r="E61" s="44"/>
      <c r="F61" s="44"/>
      <c r="G61" s="45">
        <f>G56-G58+G60-G57</f>
        <v>4806.787597422317</v>
      </c>
    </row>
    <row r="65" ht="15.7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11"/>
  </sheetPr>
  <dimension ref="A1:G67"/>
  <sheetViews>
    <sheetView zoomScale="75" zoomScaleNormal="75" workbookViewId="0" topLeftCell="A1">
      <selection activeCell="G21" sqref="G21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4" width="9.140625" style="1" customWidth="1"/>
    <col min="5" max="5" width="7.8515625" style="1" customWidth="1"/>
    <col min="6" max="6" width="20.8515625" style="1" customWidth="1"/>
    <col min="7" max="7" width="15.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2.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194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3284.9</v>
      </c>
      <c r="F3" s="8" t="s">
        <v>5</v>
      </c>
      <c r="G3" s="11">
        <v>4</v>
      </c>
    </row>
    <row r="4" spans="1:7" ht="18.75">
      <c r="A4" s="12" t="s">
        <v>6</v>
      </c>
      <c r="B4" s="46">
        <v>11.39</v>
      </c>
      <c r="C4" s="1" t="s">
        <v>93</v>
      </c>
      <c r="F4" s="8" t="s">
        <v>8</v>
      </c>
      <c r="G4" s="9">
        <v>1969</v>
      </c>
    </row>
    <row r="5" spans="1:7" ht="18.75">
      <c r="A5" s="12" t="s">
        <v>6</v>
      </c>
      <c r="B5" s="46">
        <v>11.54</v>
      </c>
      <c r="C5" s="1" t="s">
        <v>94</v>
      </c>
      <c r="F5" s="8"/>
      <c r="G5" s="9"/>
    </row>
    <row r="6" spans="1:7" ht="18.75">
      <c r="A6" s="12" t="s">
        <v>6</v>
      </c>
      <c r="B6" s="46">
        <v>11.59</v>
      </c>
      <c r="C6" s="1" t="s">
        <v>10</v>
      </c>
      <c r="F6" s="8"/>
      <c r="G6" s="9"/>
    </row>
    <row r="7" spans="1:3" ht="18.75">
      <c r="A7" s="12" t="s">
        <v>6</v>
      </c>
      <c r="B7" s="46">
        <v>12.14</v>
      </c>
      <c r="C7" s="1" t="s">
        <v>95</v>
      </c>
    </row>
    <row r="8" spans="1:7" ht="18.75" hidden="1">
      <c r="A8" s="15" t="s">
        <v>12</v>
      </c>
      <c r="B8" s="16">
        <v>312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490</v>
      </c>
      <c r="C11" s="18">
        <v>1600</v>
      </c>
      <c r="D11" s="18">
        <v>481</v>
      </c>
      <c r="E11" s="18">
        <v>1609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608.6</v>
      </c>
      <c r="C13" s="21">
        <v>535.2</v>
      </c>
      <c r="D13" s="21">
        <f>B13+C13</f>
        <v>1143.8000000000002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60</v>
      </c>
      <c r="C15" s="25"/>
      <c r="D15" s="25">
        <v>60</v>
      </c>
      <c r="E15" s="26">
        <f>D15+C15+B15</f>
        <v>120</v>
      </c>
      <c r="F15" s="18"/>
      <c r="G15" s="17"/>
    </row>
    <row r="16" spans="1:7" ht="16.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6.5">
      <c r="A17" s="29" t="s">
        <v>30</v>
      </c>
      <c r="B17" s="29"/>
      <c r="C17" s="29"/>
      <c r="D17" s="29"/>
      <c r="E17" s="29"/>
      <c r="F17" s="29"/>
      <c r="G17" s="30">
        <f>B8*8.689*12</f>
        <v>32531.615999999998</v>
      </c>
    </row>
    <row r="18" spans="1:7" ht="16.5" hidden="1">
      <c r="A18" s="29" t="s">
        <v>31</v>
      </c>
      <c r="B18" s="29"/>
      <c r="C18" s="29"/>
      <c r="D18" s="29"/>
      <c r="E18" s="29"/>
      <c r="F18" s="29"/>
      <c r="G18" s="30">
        <f>B9*35.705*12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0">
        <f>B12*0.3613*12</f>
        <v>0</v>
      </c>
    </row>
    <row r="20" spans="1:7" ht="16.5">
      <c r="A20" s="29" t="s">
        <v>33</v>
      </c>
      <c r="B20" s="29"/>
      <c r="C20" s="29"/>
      <c r="D20" s="29"/>
      <c r="E20" s="29"/>
      <c r="F20" s="29"/>
      <c r="G20" s="30">
        <f>(B11*12.84/100*189)+(C11*9.63/100*113)+(D11*32.11/100*71)+(E11*2.41/100*12)</f>
        <v>40733.37290000001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23149.010979841638</v>
      </c>
    </row>
    <row r="22" spans="1:7" ht="16.5">
      <c r="A22" s="29" t="s">
        <v>35</v>
      </c>
      <c r="B22" s="29"/>
      <c r="C22" s="29"/>
      <c r="D22" s="29"/>
      <c r="E22" s="29"/>
      <c r="F22" s="29"/>
      <c r="G22" s="30">
        <f>D13*0.135*6</f>
        <v>926.4780000000003</v>
      </c>
    </row>
    <row r="23" spans="1:7" ht="16.5">
      <c r="A23" s="29" t="s">
        <v>36</v>
      </c>
      <c r="B23" s="29"/>
      <c r="C23" s="29"/>
      <c r="D23" s="29"/>
      <c r="E23" s="29"/>
      <c r="F23" s="29"/>
      <c r="G23" s="30">
        <f>114.94+3663.9+732.78+431.03+3965.51</f>
        <v>8908.16</v>
      </c>
    </row>
    <row r="24" spans="1:7" ht="16.5">
      <c r="A24" s="29" t="s">
        <v>37</v>
      </c>
      <c r="B24" s="29"/>
      <c r="C24" s="29"/>
      <c r="D24" s="29"/>
      <c r="E24" s="29"/>
      <c r="F24" s="29"/>
      <c r="G24" s="30">
        <f>B3*0.885*12</f>
        <v>34885.638</v>
      </c>
    </row>
    <row r="25" spans="1:7" ht="16.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6.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6.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6.5">
      <c r="A28" s="29" t="s">
        <v>41</v>
      </c>
      <c r="B28" s="29"/>
      <c r="C28" s="29"/>
      <c r="D28" s="29"/>
      <c r="E28" s="29"/>
      <c r="F28" s="29"/>
      <c r="G28" s="30">
        <v>12703.89</v>
      </c>
    </row>
    <row r="29" spans="1:7" ht="16.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6.5">
      <c r="A32" s="29" t="s">
        <v>45</v>
      </c>
      <c r="B32" s="29"/>
      <c r="C32" s="29"/>
      <c r="D32" s="29"/>
      <c r="E32" s="29"/>
      <c r="F32" s="29"/>
      <c r="G32" s="30">
        <f>B3*1.81*6+B3*1.86*6</f>
        <v>72333.49799999999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565.2</v>
      </c>
    </row>
    <row r="34" spans="1:7" ht="16.5">
      <c r="A34" s="29" t="s">
        <v>47</v>
      </c>
      <c r="B34" s="29"/>
      <c r="C34" s="29"/>
      <c r="D34" s="29"/>
      <c r="E34" s="29"/>
      <c r="F34" s="29"/>
      <c r="G34" s="30">
        <f>B3*0.65*12</f>
        <v>25622.22</v>
      </c>
    </row>
    <row r="35" spans="1:7" ht="16.5">
      <c r="A35" s="29" t="s">
        <v>48</v>
      </c>
      <c r="B35" s="29"/>
      <c r="C35" s="29"/>
      <c r="D35" s="29"/>
      <c r="E35" s="29"/>
      <c r="F35" s="29"/>
      <c r="G35" s="30">
        <f>B3*0.82*12</f>
        <v>32323.416000000005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B3*0.95*12</f>
        <v>37447.86</v>
      </c>
    </row>
    <row r="37" spans="1:7" ht="16.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322130.3598798417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5.75" hidden="1">
      <c r="A39" s="29" t="s">
        <v>52</v>
      </c>
      <c r="B39" s="29"/>
      <c r="C39" s="29"/>
      <c r="D39" s="29"/>
      <c r="E39" s="29"/>
      <c r="F39" s="29"/>
      <c r="G39" s="30">
        <f>B3*2.96*12</f>
        <v>116679.648</v>
      </c>
    </row>
    <row r="40" spans="1:7" ht="16.5">
      <c r="A40" s="29" t="s">
        <v>53</v>
      </c>
      <c r="B40" s="29"/>
      <c r="C40" s="29"/>
      <c r="D40" s="29"/>
      <c r="E40" s="29"/>
      <c r="F40" s="29"/>
      <c r="G40" s="30"/>
    </row>
    <row r="41" spans="1:7" ht="16.5">
      <c r="A41" s="37" t="s">
        <v>54</v>
      </c>
      <c r="B41" s="37"/>
      <c r="C41" s="37"/>
      <c r="D41" s="37"/>
      <c r="E41" s="37"/>
      <c r="F41" s="37"/>
      <c r="G41" s="30">
        <v>10182.9</v>
      </c>
    </row>
    <row r="42" spans="1:7" ht="16.5">
      <c r="A42" s="37" t="s">
        <v>55</v>
      </c>
      <c r="B42" s="37"/>
      <c r="C42" s="37"/>
      <c r="D42" s="37"/>
      <c r="E42" s="37"/>
      <c r="F42" s="37"/>
      <c r="G42" s="30"/>
    </row>
    <row r="43" spans="1:7" ht="16.5">
      <c r="A43" s="37" t="s">
        <v>56</v>
      </c>
      <c r="B43" s="37"/>
      <c r="C43" s="37"/>
      <c r="D43" s="37"/>
      <c r="E43" s="37"/>
      <c r="F43" s="37"/>
      <c r="G43" s="30"/>
    </row>
    <row r="44" spans="1:7" ht="16.5" hidden="1">
      <c r="A44" s="37" t="s">
        <v>57</v>
      </c>
      <c r="B44" s="37"/>
      <c r="C44" s="37"/>
      <c r="D44" s="37"/>
      <c r="E44" s="37"/>
      <c r="F44" s="37"/>
      <c r="G44" s="30"/>
    </row>
    <row r="45" spans="1:7" ht="16.5" hidden="1">
      <c r="A45" s="37" t="s">
        <v>58</v>
      </c>
      <c r="B45" s="37"/>
      <c r="C45" s="37"/>
      <c r="D45" s="37"/>
      <c r="E45" s="37"/>
      <c r="F45" s="37"/>
      <c r="G45" s="30"/>
    </row>
    <row r="46" spans="1:7" ht="16.5">
      <c r="A46" s="37" t="s">
        <v>59</v>
      </c>
      <c r="B46" s="37"/>
      <c r="C46" s="37"/>
      <c r="D46" s="37"/>
      <c r="E46" s="37"/>
      <c r="F46" s="37"/>
      <c r="G46" s="30">
        <v>1682.79</v>
      </c>
    </row>
    <row r="47" spans="1:7" ht="16.5">
      <c r="A47" s="37" t="s">
        <v>60</v>
      </c>
      <c r="B47" s="37"/>
      <c r="C47" s="37"/>
      <c r="D47" s="37"/>
      <c r="E47" s="37"/>
      <c r="F47" s="37"/>
      <c r="G47" s="30">
        <f>890.4+1491.17</f>
        <v>2381.57</v>
      </c>
    </row>
    <row r="48" spans="1:7" ht="16.5">
      <c r="A48" s="37" t="s">
        <v>61</v>
      </c>
      <c r="B48" s="37"/>
      <c r="C48" s="37"/>
      <c r="D48" s="37"/>
      <c r="E48" s="37"/>
      <c r="F48" s="37"/>
      <c r="G48" s="30">
        <f>271.96+14280.31+3150.07</f>
        <v>17702.34</v>
      </c>
    </row>
    <row r="49" spans="1:7" ht="16.5">
      <c r="A49" s="37" t="s">
        <v>62</v>
      </c>
      <c r="B49" s="37"/>
      <c r="C49" s="37"/>
      <c r="D49" s="37"/>
      <c r="E49" s="37"/>
      <c r="F49" s="37"/>
      <c r="G49" s="30">
        <v>4207.64</v>
      </c>
    </row>
    <row r="50" spans="1:7" ht="16.5" hidden="1">
      <c r="A50" s="37" t="s">
        <v>63</v>
      </c>
      <c r="B50" s="37"/>
      <c r="C50" s="37"/>
      <c r="D50" s="37"/>
      <c r="E50" s="37"/>
      <c r="F50" s="37"/>
      <c r="G50" s="30"/>
    </row>
    <row r="51" spans="1:7" ht="16.5" hidden="1">
      <c r="A51" s="37" t="s">
        <v>64</v>
      </c>
      <c r="B51" s="37"/>
      <c r="C51" s="37"/>
      <c r="D51" s="37"/>
      <c r="E51" s="37"/>
      <c r="F51" s="37"/>
      <c r="G51" s="30"/>
    </row>
    <row r="52" spans="1:7" ht="16.5">
      <c r="A52" s="37" t="s">
        <v>65</v>
      </c>
      <c r="B52" s="37"/>
      <c r="C52" s="37"/>
      <c r="D52" s="37"/>
      <c r="E52" s="37"/>
      <c r="F52" s="37"/>
      <c r="G52" s="30">
        <v>33499.2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69656.44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4">
        <f>G37+G55</f>
        <v>391786.7998798417</v>
      </c>
    </row>
    <row r="57" spans="1:7" ht="16.5">
      <c r="A57" s="29" t="s">
        <v>70</v>
      </c>
      <c r="B57" s="29"/>
      <c r="C57" s="29"/>
      <c r="D57" s="29"/>
      <c r="E57" s="29"/>
      <c r="F57" s="29"/>
      <c r="G57" s="30">
        <f>-3396.48-2342.38-1426.38-1756.83</f>
        <v>-8922.07</v>
      </c>
    </row>
    <row r="58" spans="1:7" ht="15.75" customHeight="1">
      <c r="A58" s="40" t="s">
        <v>147</v>
      </c>
      <c r="B58" s="40"/>
      <c r="C58" s="40"/>
      <c r="D58" s="40"/>
      <c r="E58" s="40"/>
      <c r="F58" s="40"/>
      <c r="G58" s="34">
        <f>B3*B4*4+B3*B5*2+B3*B6*5+B3*B7*1+G59</f>
        <v>467308.57700000005</v>
      </c>
    </row>
    <row r="59" spans="1:7" ht="16.5">
      <c r="A59" s="41" t="s">
        <v>144</v>
      </c>
      <c r="B59" s="41"/>
      <c r="C59" s="41"/>
      <c r="D59" s="41"/>
      <c r="E59" s="41"/>
      <c r="F59" s="41"/>
      <c r="G59" s="34">
        <f>180*1*12+141.6*1*12+160*1*12+215.6*1*12+269*1*12</f>
        <v>11594.4</v>
      </c>
    </row>
    <row r="60" spans="1:7" ht="17.25" customHeight="1">
      <c r="A60" s="42" t="s">
        <v>73</v>
      </c>
      <c r="B60" s="42"/>
      <c r="C60" s="42"/>
      <c r="D60" s="42"/>
      <c r="E60" s="42"/>
      <c r="F60" s="42"/>
      <c r="G60" s="47">
        <v>30687.54</v>
      </c>
    </row>
    <row r="61" spans="1:7" ht="59.25" customHeight="1">
      <c r="A61" s="44" t="s">
        <v>74</v>
      </c>
      <c r="B61" s="44"/>
      <c r="C61" s="44"/>
      <c r="D61" s="44"/>
      <c r="E61" s="44"/>
      <c r="F61" s="44"/>
      <c r="G61" s="45">
        <f>G56-G58+G60-G57</f>
        <v>-35912.16712015837</v>
      </c>
    </row>
    <row r="62" ht="16.5"/>
    <row r="63" ht="16.5"/>
    <row r="65" ht="16.5"/>
    <row r="67" ht="16.5">
      <c r="A67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9"/>
  </sheetPr>
  <dimension ref="A1:G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6.71093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60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195</v>
      </c>
      <c r="C2" s="7"/>
      <c r="D2" s="7"/>
      <c r="E2" s="7"/>
      <c r="F2" s="8" t="s">
        <v>3</v>
      </c>
      <c r="G2" s="9">
        <v>3</v>
      </c>
    </row>
    <row r="3" spans="1:7" ht="18.75">
      <c r="A3" s="6" t="s">
        <v>4</v>
      </c>
      <c r="B3" s="10">
        <v>798</v>
      </c>
      <c r="F3" s="8" t="s">
        <v>5</v>
      </c>
      <c r="G3" s="11">
        <v>2</v>
      </c>
    </row>
    <row r="4" spans="1:7" ht="18.75">
      <c r="A4" s="12" t="s">
        <v>6</v>
      </c>
      <c r="B4" s="46">
        <v>11.39</v>
      </c>
      <c r="C4" s="1" t="s">
        <v>196</v>
      </c>
      <c r="F4" s="8" t="s">
        <v>8</v>
      </c>
      <c r="G4" s="9">
        <v>1948</v>
      </c>
    </row>
    <row r="5" spans="1:7" ht="18.75">
      <c r="A5" s="12" t="s">
        <v>6</v>
      </c>
      <c r="B5" s="46">
        <v>11.54</v>
      </c>
      <c r="C5" s="1" t="s">
        <v>197</v>
      </c>
      <c r="F5" s="8"/>
      <c r="G5" s="9"/>
    </row>
    <row r="6" spans="1:7" ht="18.75">
      <c r="A6" s="12" t="s">
        <v>6</v>
      </c>
      <c r="B6" s="46">
        <v>11.59</v>
      </c>
      <c r="C6" s="1" t="s">
        <v>81</v>
      </c>
      <c r="F6" s="8"/>
      <c r="G6" s="9"/>
    </row>
    <row r="7" spans="1:3" ht="18.75">
      <c r="A7" s="12" t="s">
        <v>6</v>
      </c>
      <c r="B7" s="46">
        <v>12.14</v>
      </c>
      <c r="C7" s="1" t="s">
        <v>198</v>
      </c>
    </row>
    <row r="8" spans="1:7" ht="18.75" hidden="1">
      <c r="A8" s="15" t="s">
        <v>12</v>
      </c>
      <c r="B8" s="16">
        <v>105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455</v>
      </c>
      <c r="C11" s="18">
        <v>1257</v>
      </c>
      <c r="D11" s="18">
        <v>455</v>
      </c>
      <c r="E11" s="18">
        <v>1257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36.4</v>
      </c>
      <c r="C13" s="21">
        <v>262.7</v>
      </c>
      <c r="D13" s="21">
        <f>B13+C13</f>
        <v>299.09999999999997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14</v>
      </c>
      <c r="C15" s="25"/>
      <c r="D15" s="25">
        <v>14</v>
      </c>
      <c r="E15" s="26">
        <f>D15+C15+B15</f>
        <v>28</v>
      </c>
      <c r="F15" s="18"/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6">
        <f>B8*8.689*12</f>
        <v>10948.14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6">
        <f>B9*19.029*4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6">
        <f>B12*0.4522*12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6">
        <f>(B11*12.84/100*189)+(C11*9.63/100*113)+(D11*32.11/100*71)+(E11*2.41/100*12)</f>
        <v>35456.9662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5623.583902680029</v>
      </c>
    </row>
    <row r="22" spans="1:7" ht="15.75">
      <c r="A22" s="29" t="s">
        <v>35</v>
      </c>
      <c r="B22" s="29"/>
      <c r="C22" s="29"/>
      <c r="D22" s="29"/>
      <c r="E22" s="29"/>
      <c r="F22" s="29"/>
      <c r="G22" s="36">
        <f>D13*0.135*6</f>
        <v>242.27099999999996</v>
      </c>
    </row>
    <row r="23" spans="1:7" ht="15.75">
      <c r="A23" s="29" t="s">
        <v>36</v>
      </c>
      <c r="B23" s="29"/>
      <c r="C23" s="29"/>
      <c r="D23" s="29"/>
      <c r="E23" s="29"/>
      <c r="F23" s="29"/>
      <c r="G23" s="36">
        <f>114.94+793.85+395.12+991.38</f>
        <v>2295.29</v>
      </c>
    </row>
    <row r="24" spans="1:7" ht="15.75">
      <c r="A24" s="29" t="s">
        <v>37</v>
      </c>
      <c r="B24" s="29"/>
      <c r="C24" s="29"/>
      <c r="D24" s="29"/>
      <c r="E24" s="29"/>
      <c r="F24" s="29"/>
      <c r="G24" s="36">
        <f>B3*0.885*12</f>
        <v>8474.76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6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6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6">
        <v>0</v>
      </c>
    </row>
    <row r="28" spans="1:7" ht="15.75">
      <c r="A28" s="29" t="s">
        <v>41</v>
      </c>
      <c r="B28" s="29"/>
      <c r="C28" s="29"/>
      <c r="D28" s="29"/>
      <c r="E28" s="29"/>
      <c r="F28" s="29"/>
      <c r="G28" s="36">
        <v>7511.08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6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6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6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6">
        <f>B3*1.81*6+B3*1.86*6</f>
        <v>17571.96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6">
        <f>(F15*4*8.57)+(B15*2*3.14)+(C15*1*3.14)+(D15*1*3.14)</f>
        <v>131.88</v>
      </c>
    </row>
    <row r="34" spans="1:7" ht="15.75">
      <c r="A34" s="29" t="s">
        <v>47</v>
      </c>
      <c r="B34" s="29"/>
      <c r="C34" s="29"/>
      <c r="D34" s="29"/>
      <c r="E34" s="29"/>
      <c r="F34" s="29"/>
      <c r="G34" s="36">
        <f>B3*0.65*12</f>
        <v>6224.400000000001</v>
      </c>
    </row>
    <row r="35" spans="1:7" ht="15.75">
      <c r="A35" s="29" t="s">
        <v>48</v>
      </c>
      <c r="B35" s="29"/>
      <c r="C35" s="29"/>
      <c r="D35" s="29"/>
      <c r="E35" s="29"/>
      <c r="F35" s="29"/>
      <c r="G35" s="36">
        <f>B3*0.82*12</f>
        <v>7852.32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6">
        <f>B3*0.9*12</f>
        <v>8618.400000000001</v>
      </c>
    </row>
    <row r="37" spans="1:7" ht="15.75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110951.05110268004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5.75" hidden="1">
      <c r="A39" s="29" t="s">
        <v>52</v>
      </c>
      <c r="B39" s="29"/>
      <c r="C39" s="29"/>
      <c r="D39" s="29"/>
      <c r="E39" s="29"/>
      <c r="F39" s="29"/>
      <c r="G39" s="36">
        <f>B3*2.96*12</f>
        <v>28344.96</v>
      </c>
    </row>
    <row r="40" spans="1:7" ht="15.75">
      <c r="A40" s="29" t="s">
        <v>53</v>
      </c>
      <c r="B40" s="29"/>
      <c r="C40" s="29"/>
      <c r="D40" s="29"/>
      <c r="E40" s="29"/>
      <c r="F40" s="29"/>
      <c r="G40" s="36"/>
    </row>
    <row r="41" spans="1:7" ht="17.25">
      <c r="A41" s="37" t="s">
        <v>54</v>
      </c>
      <c r="B41" s="37"/>
      <c r="C41" s="37"/>
      <c r="D41" s="37"/>
      <c r="E41" s="37"/>
      <c r="F41" s="37"/>
      <c r="G41" s="36"/>
    </row>
    <row r="42" spans="1:7" ht="17.25" hidden="1">
      <c r="A42" s="37" t="s">
        <v>55</v>
      </c>
      <c r="B42" s="37"/>
      <c r="C42" s="37"/>
      <c r="D42" s="37"/>
      <c r="E42" s="37"/>
      <c r="F42" s="37"/>
      <c r="G42" s="36"/>
    </row>
    <row r="43" spans="1:7" ht="17.25" hidden="1">
      <c r="A43" s="37" t="s">
        <v>56</v>
      </c>
      <c r="B43" s="37"/>
      <c r="C43" s="37"/>
      <c r="D43" s="37"/>
      <c r="E43" s="37"/>
      <c r="F43" s="37"/>
      <c r="G43" s="36"/>
    </row>
    <row r="44" spans="1:7" ht="17.25" hidden="1">
      <c r="A44" s="37" t="s">
        <v>57</v>
      </c>
      <c r="B44" s="37"/>
      <c r="C44" s="37"/>
      <c r="D44" s="37"/>
      <c r="E44" s="37"/>
      <c r="F44" s="37"/>
      <c r="G44" s="36"/>
    </row>
    <row r="45" spans="1:7" ht="17.25">
      <c r="A45" s="37" t="s">
        <v>58</v>
      </c>
      <c r="B45" s="37"/>
      <c r="C45" s="37"/>
      <c r="D45" s="37"/>
      <c r="E45" s="37"/>
      <c r="F45" s="37"/>
      <c r="G45" s="36"/>
    </row>
    <row r="46" spans="1:7" ht="17.25">
      <c r="A46" s="37" t="s">
        <v>59</v>
      </c>
      <c r="B46" s="37"/>
      <c r="C46" s="37"/>
      <c r="D46" s="37"/>
      <c r="E46" s="37"/>
      <c r="F46" s="37"/>
      <c r="G46" s="36">
        <v>3029.02</v>
      </c>
    </row>
    <row r="47" spans="1:7" ht="17.25">
      <c r="A47" s="37" t="s">
        <v>60</v>
      </c>
      <c r="B47" s="37"/>
      <c r="C47" s="37"/>
      <c r="D47" s="37"/>
      <c r="E47" s="37"/>
      <c r="F47" s="37"/>
      <c r="G47" s="36">
        <f>42.08+25439.18</f>
        <v>25481.260000000002</v>
      </c>
    </row>
    <row r="48" spans="1:7" ht="17.25">
      <c r="A48" s="37" t="s">
        <v>61</v>
      </c>
      <c r="B48" s="37"/>
      <c r="C48" s="37"/>
      <c r="D48" s="37"/>
      <c r="E48" s="37"/>
      <c r="F48" s="37"/>
      <c r="G48" s="36">
        <v>18270.4</v>
      </c>
    </row>
    <row r="49" spans="1:7" ht="17.25" hidden="1">
      <c r="A49" s="37" t="s">
        <v>62</v>
      </c>
      <c r="B49" s="37"/>
      <c r="C49" s="37"/>
      <c r="D49" s="37"/>
      <c r="E49" s="37"/>
      <c r="F49" s="37"/>
      <c r="G49" s="36"/>
    </row>
    <row r="50" spans="1:7" ht="17.25" hidden="1">
      <c r="A50" s="37" t="s">
        <v>63</v>
      </c>
      <c r="B50" s="37"/>
      <c r="C50" s="37"/>
      <c r="D50" s="37"/>
      <c r="E50" s="37"/>
      <c r="F50" s="37"/>
      <c r="G50" s="36"/>
    </row>
    <row r="51" spans="1:7" ht="17.25">
      <c r="A51" s="37" t="s">
        <v>64</v>
      </c>
      <c r="B51" s="37"/>
      <c r="C51" s="37"/>
      <c r="D51" s="37"/>
      <c r="E51" s="37"/>
      <c r="F51" s="37"/>
      <c r="G51" s="36"/>
    </row>
    <row r="52" spans="1:7" ht="17.25">
      <c r="A52" s="37" t="s">
        <v>65</v>
      </c>
      <c r="B52" s="37"/>
      <c r="C52" s="37"/>
      <c r="D52" s="37"/>
      <c r="E52" s="37"/>
      <c r="F52" s="37"/>
      <c r="G52" s="36">
        <v>3349.92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50130.600000000006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161081.65110268004</v>
      </c>
    </row>
    <row r="57" spans="1:7" ht="16.5">
      <c r="A57" s="29" t="s">
        <v>70</v>
      </c>
      <c r="B57" s="29"/>
      <c r="C57" s="29"/>
      <c r="D57" s="29"/>
      <c r="E57" s="29"/>
      <c r="F57" s="29"/>
      <c r="G57" s="36">
        <f>-955.03-708.57-955.03-923.19-462.1-445.68-924.24-955.03-859.52-924.24-477.54</f>
        <v>-8590.17</v>
      </c>
    </row>
    <row r="58" spans="1:7" ht="15.75" customHeight="1">
      <c r="A58" s="40" t="s">
        <v>147</v>
      </c>
      <c r="B58" s="40"/>
      <c r="C58" s="40"/>
      <c r="D58" s="40"/>
      <c r="E58" s="40"/>
      <c r="F58" s="40"/>
      <c r="G58" s="39">
        <f>B3*B4*4+B3*B5*2+B3*B6*5+B3*B7*1+G59</f>
        <v>110848.14000000001</v>
      </c>
    </row>
    <row r="59" spans="1:7" ht="16.5">
      <c r="A59" s="41" t="s">
        <v>144</v>
      </c>
      <c r="B59" s="41"/>
      <c r="C59" s="41"/>
      <c r="D59" s="41"/>
      <c r="E59" s="41"/>
      <c r="F59" s="41"/>
      <c r="G59" s="36">
        <v>141.6</v>
      </c>
    </row>
    <row r="60" spans="1:7" ht="18.75" customHeight="1">
      <c r="A60" s="42" t="s">
        <v>73</v>
      </c>
      <c r="B60" s="42"/>
      <c r="C60" s="42"/>
      <c r="D60" s="42"/>
      <c r="E60" s="42"/>
      <c r="F60" s="42"/>
      <c r="G60" s="43">
        <v>13946.97</v>
      </c>
    </row>
    <row r="61" spans="1:7" ht="70.5" customHeight="1">
      <c r="A61" s="44" t="s">
        <v>114</v>
      </c>
      <c r="B61" s="44"/>
      <c r="C61" s="44"/>
      <c r="D61" s="44"/>
      <c r="E61" s="44"/>
      <c r="F61" s="44"/>
      <c r="G61" s="45">
        <f>G56-G58+G60-G57</f>
        <v>72770.65110268003</v>
      </c>
    </row>
    <row r="65" ht="15.7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5"/>
  </sheetPr>
  <dimension ref="A1:G66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2812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4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199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2667.4</v>
      </c>
      <c r="F3" s="8" t="s">
        <v>5</v>
      </c>
      <c r="G3" s="11">
        <v>4</v>
      </c>
    </row>
    <row r="4" spans="1:7" ht="18.75">
      <c r="A4" s="12" t="s">
        <v>6</v>
      </c>
      <c r="B4" s="46">
        <v>9.59</v>
      </c>
      <c r="C4" s="1" t="s">
        <v>196</v>
      </c>
      <c r="F4" s="8" t="s">
        <v>8</v>
      </c>
      <c r="G4" s="9">
        <v>1971</v>
      </c>
    </row>
    <row r="5" spans="1:7" ht="18.75">
      <c r="A5" s="12" t="s">
        <v>6</v>
      </c>
      <c r="B5" s="46">
        <v>9.74</v>
      </c>
      <c r="C5" s="1" t="s">
        <v>197</v>
      </c>
      <c r="F5" s="8"/>
      <c r="G5" s="9"/>
    </row>
    <row r="6" spans="1:7" ht="18.75">
      <c r="A6" s="12" t="s">
        <v>6</v>
      </c>
      <c r="B6" s="46">
        <v>9.79</v>
      </c>
      <c r="C6" s="1" t="s">
        <v>81</v>
      </c>
      <c r="F6" s="8"/>
      <c r="G6" s="9"/>
    </row>
    <row r="7" spans="1:3" ht="18.75">
      <c r="A7" s="12" t="s">
        <v>6</v>
      </c>
      <c r="B7" s="46">
        <v>10.21</v>
      </c>
      <c r="C7" s="1" t="s">
        <v>198</v>
      </c>
    </row>
    <row r="8" spans="1:7" ht="18.75" hidden="1">
      <c r="A8" s="15" t="s">
        <v>12</v>
      </c>
      <c r="B8" s="16">
        <v>246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733</v>
      </c>
      <c r="C11" s="18">
        <v>1190</v>
      </c>
      <c r="D11" s="18">
        <v>733</v>
      </c>
      <c r="E11" s="18">
        <v>1190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0</v>
      </c>
      <c r="C13" s="21">
        <v>533.5</v>
      </c>
      <c r="D13" s="21">
        <f>B13+C13</f>
        <v>533.5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56</v>
      </c>
      <c r="C15" s="25">
        <v>0</v>
      </c>
      <c r="D15" s="25">
        <v>56</v>
      </c>
      <c r="E15" s="26">
        <f>D15+C15+B15</f>
        <v>112</v>
      </c>
      <c r="F15" s="18">
        <v>0</v>
      </c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6">
        <f>B8*7.012*12</f>
        <v>20699.424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6">
        <f>B9*35.705*4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6">
        <f>B12*0.3613*4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6">
        <f>(B11*9.46/100*189)+(C11*7.09/100*113)+(D11*23.66/100*71)+(E11*1.77/100*12)</f>
        <v>35205.653000000006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18797.428198005902</v>
      </c>
    </row>
    <row r="22" spans="1:7" ht="15.75">
      <c r="A22" s="29" t="s">
        <v>35</v>
      </c>
      <c r="B22" s="29"/>
      <c r="C22" s="29"/>
      <c r="D22" s="29"/>
      <c r="E22" s="29"/>
      <c r="F22" s="29"/>
      <c r="G22" s="36">
        <f>D13*0.135*6</f>
        <v>432.13500000000005</v>
      </c>
    </row>
    <row r="23" spans="1:7" ht="15.75">
      <c r="A23" s="29" t="s">
        <v>36</v>
      </c>
      <c r="B23" s="29"/>
      <c r="C23" s="29"/>
      <c r="D23" s="29"/>
      <c r="E23" s="29"/>
      <c r="F23" s="29"/>
      <c r="G23" s="36">
        <f>114.94+3419.64+948.3+3965.51</f>
        <v>8448.39</v>
      </c>
    </row>
    <row r="24" spans="1:7" ht="15.75">
      <c r="A24" s="29" t="s">
        <v>37</v>
      </c>
      <c r="B24" s="29"/>
      <c r="C24" s="29"/>
      <c r="D24" s="29"/>
      <c r="E24" s="29"/>
      <c r="F24" s="29"/>
      <c r="G24" s="36">
        <f>B3*0.885*12</f>
        <v>28327.788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6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6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6">
        <v>0</v>
      </c>
    </row>
    <row r="28" spans="1:7" ht="15.75">
      <c r="A28" s="29" t="s">
        <v>41</v>
      </c>
      <c r="B28" s="29"/>
      <c r="C28" s="29"/>
      <c r="D28" s="29"/>
      <c r="E28" s="29"/>
      <c r="F28" s="29"/>
      <c r="G28" s="36">
        <v>6002.32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6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6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6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6">
        <f>B3*1.81*6+B3*1.86*6</f>
        <v>58736.148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6">
        <f>(F15*4*8.57)+(B15*2*3.14)+(C15*1*3.14)+(D15*1*3.14)</f>
        <v>527.52</v>
      </c>
    </row>
    <row r="34" spans="1:7" ht="15.75">
      <c r="A34" s="29" t="s">
        <v>47</v>
      </c>
      <c r="B34" s="29"/>
      <c r="C34" s="29"/>
      <c r="D34" s="29"/>
      <c r="E34" s="29"/>
      <c r="F34" s="29"/>
      <c r="G34" s="36">
        <f>B3*0.65*12</f>
        <v>20805.72</v>
      </c>
    </row>
    <row r="35" spans="1:7" ht="15.75">
      <c r="A35" s="29" t="s">
        <v>48</v>
      </c>
      <c r="B35" s="29"/>
      <c r="C35" s="29"/>
      <c r="D35" s="29"/>
      <c r="E35" s="29"/>
      <c r="F35" s="29"/>
      <c r="G35" s="36">
        <f>B3*0.82*12</f>
        <v>26247.216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6">
        <f>B3*0.9*12</f>
        <v>28807.920000000006</v>
      </c>
    </row>
    <row r="37" spans="1:7" ht="15.75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253037.6621980059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5.75" hidden="1">
      <c r="A39" s="29" t="s">
        <v>52</v>
      </c>
      <c r="B39" s="29"/>
      <c r="C39" s="29"/>
      <c r="D39" s="29"/>
      <c r="E39" s="29"/>
      <c r="F39" s="29"/>
      <c r="G39" s="36">
        <f>B3*2.96*12</f>
        <v>94746.048</v>
      </c>
    </row>
    <row r="40" spans="1:7" ht="15.75">
      <c r="A40" s="29" t="s">
        <v>53</v>
      </c>
      <c r="B40" s="29"/>
      <c r="C40" s="29"/>
      <c r="D40" s="29"/>
      <c r="E40" s="29"/>
      <c r="F40" s="29"/>
      <c r="G40" s="36"/>
    </row>
    <row r="41" spans="1:7" ht="17.25">
      <c r="A41" s="37" t="s">
        <v>54</v>
      </c>
      <c r="B41" s="37"/>
      <c r="C41" s="37"/>
      <c r="D41" s="37"/>
      <c r="E41" s="37"/>
      <c r="F41" s="37"/>
      <c r="G41" s="36"/>
    </row>
    <row r="42" spans="1:7" ht="17.25">
      <c r="A42" s="37" t="s">
        <v>55</v>
      </c>
      <c r="B42" s="37"/>
      <c r="C42" s="37"/>
      <c r="D42" s="37"/>
      <c r="E42" s="37"/>
      <c r="F42" s="37"/>
      <c r="G42" s="36"/>
    </row>
    <row r="43" spans="1:7" ht="17.25">
      <c r="A43" s="37" t="s">
        <v>56</v>
      </c>
      <c r="B43" s="37"/>
      <c r="C43" s="37"/>
      <c r="D43" s="37"/>
      <c r="E43" s="37"/>
      <c r="F43" s="37"/>
      <c r="G43" s="36"/>
    </row>
    <row r="44" spans="1:7" ht="17.25" hidden="1">
      <c r="A44" s="37" t="s">
        <v>57</v>
      </c>
      <c r="B44" s="37"/>
      <c r="C44" s="37"/>
      <c r="D44" s="37"/>
      <c r="E44" s="37"/>
      <c r="F44" s="37"/>
      <c r="G44" s="36"/>
    </row>
    <row r="45" spans="1:7" ht="17.25" hidden="1">
      <c r="A45" s="37" t="s">
        <v>58</v>
      </c>
      <c r="B45" s="37"/>
      <c r="C45" s="37"/>
      <c r="D45" s="37"/>
      <c r="E45" s="37"/>
      <c r="F45" s="37"/>
      <c r="G45" s="36"/>
    </row>
    <row r="46" spans="1:7" ht="16.5">
      <c r="A46" s="37" t="s">
        <v>59</v>
      </c>
      <c r="B46" s="37"/>
      <c r="C46" s="37"/>
      <c r="D46" s="37"/>
      <c r="E46" s="37"/>
      <c r="F46" s="37"/>
      <c r="G46" s="36">
        <f>193.62+311.76+135.54+225.95</f>
        <v>866.8699999999999</v>
      </c>
    </row>
    <row r="47" spans="1:7" ht="17.25">
      <c r="A47" s="37" t="s">
        <v>60</v>
      </c>
      <c r="B47" s="37"/>
      <c r="C47" s="37"/>
      <c r="D47" s="37"/>
      <c r="E47" s="37"/>
      <c r="F47" s="37"/>
      <c r="G47" s="36">
        <f>108.77+2173.66+42.08+788.03+42.08+42.08</f>
        <v>3196.7</v>
      </c>
    </row>
    <row r="48" spans="1:7" ht="17.25">
      <c r="A48" s="37" t="s">
        <v>61</v>
      </c>
      <c r="B48" s="37"/>
      <c r="C48" s="37"/>
      <c r="D48" s="37"/>
      <c r="E48" s="37"/>
      <c r="F48" s="37"/>
      <c r="G48" s="36">
        <f>6264.45+976.89+834.05+4879.24</f>
        <v>12954.630000000001</v>
      </c>
    </row>
    <row r="49" spans="1:7" ht="17.25" hidden="1">
      <c r="A49" s="37" t="s">
        <v>62</v>
      </c>
      <c r="B49" s="37"/>
      <c r="C49" s="37"/>
      <c r="D49" s="37"/>
      <c r="E49" s="37"/>
      <c r="F49" s="37"/>
      <c r="G49" s="36"/>
    </row>
    <row r="50" spans="1:7" ht="17.25" hidden="1">
      <c r="A50" s="37" t="s">
        <v>176</v>
      </c>
      <c r="B50" s="37"/>
      <c r="C50" s="37"/>
      <c r="D50" s="37"/>
      <c r="E50" s="37"/>
      <c r="F50" s="37"/>
      <c r="G50" s="36"/>
    </row>
    <row r="51" spans="1:7" ht="17.25" hidden="1">
      <c r="A51" s="37" t="s">
        <v>64</v>
      </c>
      <c r="B51" s="37"/>
      <c r="C51" s="37"/>
      <c r="D51" s="37"/>
      <c r="E51" s="37"/>
      <c r="F51" s="37"/>
      <c r="G51" s="36"/>
    </row>
    <row r="52" spans="1:7" ht="17.25">
      <c r="A52" s="37" t="s">
        <v>65</v>
      </c>
      <c r="B52" s="37"/>
      <c r="C52" s="37"/>
      <c r="D52" s="37"/>
      <c r="E52" s="37"/>
      <c r="F52" s="37"/>
      <c r="G52" s="36">
        <v>32063.52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49081.72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302119.3821980059</v>
      </c>
    </row>
    <row r="57" spans="1:7" ht="15.75">
      <c r="A57" s="29" t="s">
        <v>70</v>
      </c>
      <c r="B57" s="29"/>
      <c r="C57" s="29"/>
      <c r="D57" s="29"/>
      <c r="E57" s="29"/>
      <c r="F57" s="29"/>
      <c r="G57" s="36">
        <f>-2262.5-1728.58</f>
        <v>-3991.08</v>
      </c>
    </row>
    <row r="58" spans="1:7" ht="16.5" customHeight="1">
      <c r="A58" s="40" t="s">
        <v>147</v>
      </c>
      <c r="B58" s="40"/>
      <c r="C58" s="40"/>
      <c r="D58" s="40"/>
      <c r="E58" s="40"/>
      <c r="F58" s="40"/>
      <c r="G58" s="39">
        <f>B3*B4*4+B3*B5*2+B3*B6*5+B3*B7*1+G59</f>
        <v>321520.2</v>
      </c>
    </row>
    <row r="59" spans="1:7" ht="16.5">
      <c r="A59" s="41" t="s">
        <v>144</v>
      </c>
      <c r="B59" s="41"/>
      <c r="C59" s="41"/>
      <c r="D59" s="41"/>
      <c r="E59" s="41"/>
      <c r="F59" s="41"/>
      <c r="G59" s="36">
        <f>160*1*12+141.6*1*12+269*1*12+215.6*1*12</f>
        <v>9434.4</v>
      </c>
    </row>
    <row r="60" spans="1:7" ht="17.25" customHeight="1">
      <c r="A60" s="42" t="s">
        <v>73</v>
      </c>
      <c r="B60" s="42"/>
      <c r="C60" s="42"/>
      <c r="D60" s="42"/>
      <c r="E60" s="42"/>
      <c r="F60" s="42"/>
      <c r="G60" s="43">
        <v>40779.83</v>
      </c>
    </row>
    <row r="61" spans="1:7" ht="60.75" customHeight="1">
      <c r="A61" s="44" t="s">
        <v>114</v>
      </c>
      <c r="B61" s="44"/>
      <c r="C61" s="44"/>
      <c r="D61" s="44"/>
      <c r="E61" s="44"/>
      <c r="F61" s="44"/>
      <c r="G61" s="45">
        <f>G56-G58+G60-G57</f>
        <v>25370.092198005907</v>
      </c>
    </row>
    <row r="66" ht="15.75">
      <c r="A66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6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4" width="9.140625" style="1" customWidth="1"/>
    <col min="5" max="5" width="9.00390625" style="1" customWidth="1"/>
    <col min="6" max="6" width="21.57421875" style="1" customWidth="1"/>
    <col min="7" max="7" width="15.71093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47.25" customHeight="1">
      <c r="A1" s="5" t="s">
        <v>91</v>
      </c>
      <c r="B1" s="5"/>
      <c r="C1" s="5"/>
      <c r="D1" s="5"/>
      <c r="E1" s="5"/>
      <c r="F1" s="5"/>
      <c r="G1" s="5"/>
    </row>
    <row r="2" spans="1:7" ht="19.5">
      <c r="A2" s="6" t="s">
        <v>1</v>
      </c>
      <c r="B2" s="7" t="s">
        <v>101</v>
      </c>
      <c r="C2" s="7"/>
      <c r="D2" s="7"/>
      <c r="E2" s="7"/>
      <c r="F2" s="8" t="s">
        <v>3</v>
      </c>
      <c r="G2" s="9">
        <v>5</v>
      </c>
    </row>
    <row r="3" spans="1:7" ht="19.5">
      <c r="A3" s="6" t="s">
        <v>4</v>
      </c>
      <c r="B3" s="10">
        <v>2678.6</v>
      </c>
      <c r="F3" s="8" t="s">
        <v>5</v>
      </c>
      <c r="G3" s="11">
        <v>4</v>
      </c>
    </row>
    <row r="4" spans="1:7" ht="18.75">
      <c r="A4" s="12" t="s">
        <v>6</v>
      </c>
      <c r="B4" s="46">
        <v>11.39</v>
      </c>
      <c r="C4" s="1" t="s">
        <v>93</v>
      </c>
      <c r="F4" s="8" t="s">
        <v>8</v>
      </c>
      <c r="G4" s="9">
        <v>1971</v>
      </c>
    </row>
    <row r="5" spans="1:7" ht="18.75">
      <c r="A5" s="12" t="s">
        <v>6</v>
      </c>
      <c r="B5" s="46">
        <v>11.54</v>
      </c>
      <c r="C5" s="1" t="s">
        <v>94</v>
      </c>
      <c r="F5" s="8"/>
      <c r="G5" s="9"/>
    </row>
    <row r="6" spans="1:7" ht="18.75">
      <c r="A6" s="12" t="s">
        <v>6</v>
      </c>
      <c r="B6" s="46">
        <v>11.59</v>
      </c>
      <c r="C6" s="1" t="s">
        <v>10</v>
      </c>
      <c r="F6" s="8"/>
      <c r="G6" s="9"/>
    </row>
    <row r="7" spans="1:3" ht="18.75">
      <c r="A7" s="12" t="s">
        <v>6</v>
      </c>
      <c r="B7" s="46">
        <v>12.14</v>
      </c>
      <c r="C7" s="1" t="s">
        <v>95</v>
      </c>
    </row>
    <row r="8" spans="1:7" ht="19.5" hidden="1">
      <c r="A8" s="15" t="s">
        <v>102</v>
      </c>
      <c r="B8" s="16">
        <v>330.1</v>
      </c>
      <c r="C8" s="17"/>
      <c r="D8" s="17"/>
      <c r="E8" s="17"/>
      <c r="F8" s="17"/>
      <c r="G8" s="17"/>
    </row>
    <row r="9" spans="1:7" ht="19.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33.7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9.5" hidden="1">
      <c r="A11" s="15"/>
      <c r="B11" s="18">
        <v>630</v>
      </c>
      <c r="C11" s="18">
        <v>2400</v>
      </c>
      <c r="D11" s="18">
        <v>560</v>
      </c>
      <c r="E11" s="18">
        <v>2470</v>
      </c>
      <c r="F11" s="17"/>
      <c r="G11" s="17"/>
    </row>
    <row r="12" spans="1:7" ht="19.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9.5" hidden="1">
      <c r="A13" s="15" t="s">
        <v>21</v>
      </c>
      <c r="B13" s="21">
        <v>542</v>
      </c>
      <c r="C13" s="21">
        <v>535.7</v>
      </c>
      <c r="D13" s="21">
        <f>B13+C13</f>
        <v>1077.7</v>
      </c>
      <c r="E13" s="17"/>
      <c r="F13" s="17"/>
      <c r="G13" s="17"/>
    </row>
    <row r="14" spans="1:7" ht="45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9.5" hidden="1">
      <c r="A15" s="24"/>
      <c r="B15" s="25">
        <v>60</v>
      </c>
      <c r="C15" s="25"/>
      <c r="D15" s="25">
        <v>60</v>
      </c>
      <c r="E15" s="26">
        <f>D15+C15+B15</f>
        <v>120</v>
      </c>
      <c r="F15" s="18"/>
      <c r="G15" s="17"/>
    </row>
    <row r="16" spans="1:7" ht="17.2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7.25">
      <c r="A17" s="29" t="s">
        <v>30</v>
      </c>
      <c r="B17" s="29"/>
      <c r="C17" s="29"/>
      <c r="D17" s="29"/>
      <c r="E17" s="29"/>
      <c r="F17" s="29"/>
      <c r="G17" s="30">
        <f>B8*8.689*12</f>
        <v>34418.8668</v>
      </c>
    </row>
    <row r="18" spans="1:7" ht="17.25" hidden="1">
      <c r="A18" s="29" t="s">
        <v>31</v>
      </c>
      <c r="B18" s="29"/>
      <c r="C18" s="29"/>
      <c r="D18" s="29"/>
      <c r="E18" s="29"/>
      <c r="F18" s="29"/>
      <c r="G18" s="30">
        <f>B9*35.705*12</f>
        <v>0</v>
      </c>
    </row>
    <row r="19" spans="1:7" ht="17.25" customHeight="1" hidden="1">
      <c r="A19" s="29" t="s">
        <v>85</v>
      </c>
      <c r="B19" s="29"/>
      <c r="C19" s="29"/>
      <c r="D19" s="29"/>
      <c r="E19" s="29"/>
      <c r="F19" s="29"/>
      <c r="G19" s="30">
        <f>B12*0.3613*12</f>
        <v>0</v>
      </c>
    </row>
    <row r="20" spans="1:7" ht="17.25">
      <c r="A20" s="29" t="s">
        <v>33</v>
      </c>
      <c r="B20" s="29"/>
      <c r="C20" s="29"/>
      <c r="D20" s="29"/>
      <c r="E20" s="29"/>
      <c r="F20" s="29"/>
      <c r="G20" s="30">
        <f>(B11*12.84/100*189)+(C11*9.63/100*113)+(D11*32.11/100*71)+(E11*2.41/100*12)</f>
        <v>54886.408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18876.355691376848</v>
      </c>
    </row>
    <row r="22" spans="1:7" ht="17.25">
      <c r="A22" s="29" t="s">
        <v>35</v>
      </c>
      <c r="B22" s="29"/>
      <c r="C22" s="29"/>
      <c r="D22" s="29"/>
      <c r="E22" s="29"/>
      <c r="F22" s="29"/>
      <c r="G22" s="30">
        <f>D13*0.135*6</f>
        <v>872.9370000000001</v>
      </c>
    </row>
    <row r="23" spans="1:7" ht="17.25">
      <c r="A23" s="29" t="s">
        <v>36</v>
      </c>
      <c r="B23" s="29"/>
      <c r="C23" s="29"/>
      <c r="D23" s="29"/>
      <c r="E23" s="29"/>
      <c r="F23" s="29"/>
      <c r="G23" s="30">
        <f>114.94+3663.9+732.78+316.1+3965.51</f>
        <v>8793.23</v>
      </c>
    </row>
    <row r="24" spans="1:7" ht="17.25">
      <c r="A24" s="29" t="s">
        <v>37</v>
      </c>
      <c r="B24" s="29"/>
      <c r="C24" s="29"/>
      <c r="D24" s="29"/>
      <c r="E24" s="29"/>
      <c r="F24" s="29"/>
      <c r="G24" s="30">
        <f>B3*0.885*12</f>
        <v>28446.732000000004</v>
      </c>
    </row>
    <row r="25" spans="1:7" ht="17.2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7.2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7.2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7.25">
      <c r="A28" s="29" t="s">
        <v>103</v>
      </c>
      <c r="B28" s="29"/>
      <c r="C28" s="29"/>
      <c r="D28" s="29"/>
      <c r="E28" s="29"/>
      <c r="F28" s="29"/>
      <c r="G28" s="30">
        <f>4224+3017.52+28731.61+1192.52</f>
        <v>37165.65</v>
      </c>
    </row>
    <row r="29" spans="1:7" ht="17.2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7.2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7.2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7.25">
      <c r="A32" s="29" t="s">
        <v>45</v>
      </c>
      <c r="B32" s="29"/>
      <c r="C32" s="29"/>
      <c r="D32" s="29"/>
      <c r="E32" s="29"/>
      <c r="F32" s="29"/>
      <c r="G32" s="30">
        <f>B3*1.81*6+B3*1.86*6</f>
        <v>58982.772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565.2</v>
      </c>
    </row>
    <row r="34" spans="1:7" ht="17.25">
      <c r="A34" s="29" t="s">
        <v>47</v>
      </c>
      <c r="B34" s="29"/>
      <c r="C34" s="29"/>
      <c r="D34" s="29"/>
      <c r="E34" s="29"/>
      <c r="F34" s="29"/>
      <c r="G34" s="30">
        <f>B3*0.65*12</f>
        <v>20893.079999999998</v>
      </c>
    </row>
    <row r="35" spans="1:7" ht="17.25">
      <c r="A35" s="29" t="s">
        <v>48</v>
      </c>
      <c r="B35" s="29"/>
      <c r="C35" s="29"/>
      <c r="D35" s="29"/>
      <c r="E35" s="29"/>
      <c r="F35" s="29"/>
      <c r="G35" s="30">
        <f>B3*0.82*12</f>
        <v>26357.424000000003</v>
      </c>
    </row>
    <row r="36" spans="1:7" ht="17.25" customHeight="1">
      <c r="A36" s="29" t="s">
        <v>49</v>
      </c>
      <c r="B36" s="29"/>
      <c r="C36" s="29"/>
      <c r="D36" s="29"/>
      <c r="E36" s="29"/>
      <c r="F36" s="29"/>
      <c r="G36" s="30">
        <f>B3*0.9*12</f>
        <v>28928.879999999997</v>
      </c>
    </row>
    <row r="37" spans="1:7" ht="17.2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319187.5354913769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7.25" hidden="1">
      <c r="A39" s="29" t="s">
        <v>52</v>
      </c>
      <c r="B39" s="29"/>
      <c r="C39" s="29"/>
      <c r="D39" s="29"/>
      <c r="E39" s="29"/>
      <c r="F39" s="29"/>
      <c r="G39" s="30">
        <f>B3*2.96*12</f>
        <v>95143.872</v>
      </c>
    </row>
    <row r="40" spans="1:7" ht="17.25">
      <c r="A40" s="29" t="s">
        <v>53</v>
      </c>
      <c r="B40" s="29"/>
      <c r="C40" s="29"/>
      <c r="D40" s="29"/>
      <c r="E40" s="29"/>
      <c r="F40" s="29"/>
      <c r="G40" s="30"/>
    </row>
    <row r="41" spans="1:7" ht="17.25">
      <c r="A41" s="37" t="s">
        <v>54</v>
      </c>
      <c r="B41" s="37"/>
      <c r="C41" s="37"/>
      <c r="D41" s="37"/>
      <c r="E41" s="37"/>
      <c r="F41" s="37"/>
      <c r="G41" s="30"/>
    </row>
    <row r="42" spans="1:7" ht="17.25">
      <c r="A42" s="37" t="s">
        <v>55</v>
      </c>
      <c r="B42" s="37"/>
      <c r="C42" s="37"/>
      <c r="D42" s="37"/>
      <c r="E42" s="37"/>
      <c r="F42" s="37"/>
      <c r="G42" s="30">
        <v>941.91</v>
      </c>
    </row>
    <row r="43" spans="1:7" ht="17.25" hidden="1">
      <c r="A43" s="37" t="s">
        <v>56</v>
      </c>
      <c r="B43" s="37"/>
      <c r="C43" s="37"/>
      <c r="D43" s="37"/>
      <c r="E43" s="37"/>
      <c r="F43" s="37"/>
      <c r="G43" s="30"/>
    </row>
    <row r="44" spans="1:7" ht="17.25" hidden="1">
      <c r="A44" s="37" t="s">
        <v>57</v>
      </c>
      <c r="B44" s="37"/>
      <c r="C44" s="37"/>
      <c r="D44" s="37"/>
      <c r="E44" s="37"/>
      <c r="F44" s="37"/>
      <c r="G44" s="30"/>
    </row>
    <row r="45" spans="1:7" ht="17.25" hidden="1">
      <c r="A45" s="37" t="s">
        <v>58</v>
      </c>
      <c r="B45" s="37"/>
      <c r="C45" s="37"/>
      <c r="D45" s="37"/>
      <c r="E45" s="37"/>
      <c r="F45" s="37"/>
      <c r="G45" s="30"/>
    </row>
    <row r="46" spans="1:7" ht="17.25">
      <c r="A46" s="37" t="s">
        <v>59</v>
      </c>
      <c r="B46" s="37"/>
      <c r="C46" s="37"/>
      <c r="D46" s="37"/>
      <c r="E46" s="37"/>
      <c r="F46" s="37"/>
      <c r="G46" s="30">
        <f>686.94+16.89</f>
        <v>703.83</v>
      </c>
    </row>
    <row r="47" spans="1:7" ht="16.5">
      <c r="A47" s="37" t="s">
        <v>60</v>
      </c>
      <c r="B47" s="37"/>
      <c r="C47" s="37"/>
      <c r="D47" s="37"/>
      <c r="E47" s="37"/>
      <c r="F47" s="37"/>
      <c r="G47" s="30">
        <f>42.08+42.08+1491.17+2049.35</f>
        <v>3624.6800000000003</v>
      </c>
    </row>
    <row r="48" spans="1:7" ht="17.25">
      <c r="A48" s="37" t="s">
        <v>61</v>
      </c>
      <c r="B48" s="37"/>
      <c r="C48" s="37"/>
      <c r="D48" s="37"/>
      <c r="E48" s="37"/>
      <c r="F48" s="37"/>
      <c r="G48" s="30">
        <f>1982.32+2520.06</f>
        <v>4502.38</v>
      </c>
    </row>
    <row r="49" spans="1:7" ht="17.25">
      <c r="A49" s="37" t="s">
        <v>62</v>
      </c>
      <c r="B49" s="37"/>
      <c r="C49" s="37"/>
      <c r="D49" s="37"/>
      <c r="E49" s="37"/>
      <c r="F49" s="37"/>
      <c r="G49" s="30">
        <v>1833.28</v>
      </c>
    </row>
    <row r="50" spans="1:7" ht="17.25" hidden="1">
      <c r="A50" s="37" t="s">
        <v>63</v>
      </c>
      <c r="B50" s="37"/>
      <c r="C50" s="37"/>
      <c r="D50" s="37"/>
      <c r="E50" s="37"/>
      <c r="F50" s="37"/>
      <c r="G50" s="30"/>
    </row>
    <row r="51" spans="1:7" ht="17.25">
      <c r="A51" s="37" t="s">
        <v>64</v>
      </c>
      <c r="B51" s="37"/>
      <c r="C51" s="37"/>
      <c r="D51" s="37"/>
      <c r="E51" s="37"/>
      <c r="F51" s="37"/>
      <c r="G51" s="30"/>
    </row>
    <row r="52" spans="1:7" ht="17.25">
      <c r="A52" s="37" t="s">
        <v>65</v>
      </c>
      <c r="B52" s="37"/>
      <c r="C52" s="37"/>
      <c r="D52" s="37"/>
      <c r="E52" s="37"/>
      <c r="F52" s="37"/>
      <c r="G52" s="30">
        <v>18092.76</v>
      </c>
    </row>
    <row r="53" spans="1:7" ht="17.25" customHeight="1" hidden="1">
      <c r="A53" s="37" t="s">
        <v>104</v>
      </c>
      <c r="B53" s="37"/>
      <c r="C53" s="37"/>
      <c r="D53" s="37"/>
      <c r="E53" s="37"/>
      <c r="F53" s="37"/>
      <c r="G53" s="30"/>
    </row>
    <row r="54" spans="1:7" ht="17.25" customHeight="1" hidden="1">
      <c r="A54" s="37" t="s">
        <v>66</v>
      </c>
      <c r="B54" s="37"/>
      <c r="C54" s="37"/>
      <c r="D54" s="37"/>
      <c r="E54" s="37"/>
      <c r="F54" s="37"/>
      <c r="G54" s="30"/>
    </row>
    <row r="55" spans="1:7" ht="15.75" customHeight="1" hidden="1">
      <c r="A55" s="37" t="s">
        <v>67</v>
      </c>
      <c r="B55" s="37"/>
      <c r="C55" s="37"/>
      <c r="D55" s="37"/>
      <c r="E55" s="37"/>
      <c r="F55" s="37"/>
      <c r="G55" s="30"/>
    </row>
    <row r="56" spans="1:7" ht="15.75" customHeight="1">
      <c r="A56" s="38" t="s">
        <v>68</v>
      </c>
      <c r="B56" s="38"/>
      <c r="C56" s="38"/>
      <c r="D56" s="38"/>
      <c r="E56" s="38"/>
      <c r="F56" s="38"/>
      <c r="G56" s="34">
        <f>G41+G42+G43+G44+G45+G46+G47+G48+G49+G50+G51+G52+G54+G55+G53</f>
        <v>29698.839999999997</v>
      </c>
    </row>
    <row r="57" spans="1:7" ht="15.75" customHeight="1">
      <c r="A57" s="38" t="s">
        <v>69</v>
      </c>
      <c r="B57" s="38"/>
      <c r="C57" s="38"/>
      <c r="D57" s="38"/>
      <c r="E57" s="38"/>
      <c r="F57" s="38"/>
      <c r="G57" s="34">
        <f>G37+G56</f>
        <v>348886.37549137685</v>
      </c>
    </row>
    <row r="58" spans="1:7" ht="17.25" customHeight="1">
      <c r="A58" s="29" t="s">
        <v>70</v>
      </c>
      <c r="B58" s="29"/>
      <c r="C58" s="29"/>
      <c r="D58" s="29"/>
      <c r="E58" s="29"/>
      <c r="F58" s="29"/>
      <c r="G58" s="30">
        <f>-358.93</f>
        <v>-358.93</v>
      </c>
    </row>
    <row r="59" spans="1:7" ht="17.25">
      <c r="A59" s="40" t="s">
        <v>100</v>
      </c>
      <c r="B59" s="40"/>
      <c r="C59" s="40"/>
      <c r="D59" s="40"/>
      <c r="E59" s="40"/>
      <c r="F59" s="40"/>
      <c r="G59" s="34">
        <f>B3*B4*4+B3*B5*2+B3*B6*5+B3*B7*1+G60</f>
        <v>383196.57800000004</v>
      </c>
    </row>
    <row r="60" spans="1:7" ht="15.75" customHeight="1">
      <c r="A60" s="41" t="s">
        <v>89</v>
      </c>
      <c r="B60" s="41"/>
      <c r="C60" s="41"/>
      <c r="D60" s="41"/>
      <c r="E60" s="41"/>
      <c r="F60" s="41"/>
      <c r="G60" s="34">
        <f>160*1*12+180*1*12+141.6*1*12+215.6*1*12+269*1*12</f>
        <v>11594.4</v>
      </c>
    </row>
    <row r="61" spans="1:7" ht="19.5" customHeight="1">
      <c r="A61" s="42" t="s">
        <v>73</v>
      </c>
      <c r="B61" s="42"/>
      <c r="C61" s="42"/>
      <c r="D61" s="42"/>
      <c r="E61" s="42"/>
      <c r="F61" s="42"/>
      <c r="G61" s="47">
        <v>14567.58</v>
      </c>
    </row>
    <row r="62" spans="1:7" ht="64.5" customHeight="1">
      <c r="A62" s="44" t="s">
        <v>105</v>
      </c>
      <c r="B62" s="44"/>
      <c r="C62" s="44"/>
      <c r="D62" s="44"/>
      <c r="E62" s="44"/>
      <c r="F62" s="44"/>
      <c r="G62" s="48">
        <f>G57-G59+G61-G58</f>
        <v>-19383.692508623186</v>
      </c>
    </row>
    <row r="66" ht="17.25">
      <c r="A66" s="1" t="s">
        <v>75</v>
      </c>
    </row>
  </sheetData>
  <sheetProtection selectLockedCells="1" selectUnlockedCells="1"/>
  <mergeCells count="49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</mergeCells>
  <printOptions/>
  <pageMargins left="0.35" right="0" top="0.3298611111111111" bottom="0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11"/>
  </sheetPr>
  <dimension ref="A1:G65"/>
  <sheetViews>
    <sheetView zoomScale="75" zoomScaleNormal="75" workbookViewId="0" topLeftCell="A1">
      <selection activeCell="A41" sqref="A41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4" width="9.140625" style="1" customWidth="1"/>
    <col min="5" max="5" width="8.00390625" style="1" customWidth="1"/>
    <col min="6" max="6" width="21.421875" style="1" customWidth="1"/>
    <col min="7" max="7" width="14.71093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5.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200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2642</v>
      </c>
      <c r="F3" s="8" t="s">
        <v>5</v>
      </c>
      <c r="G3" s="11">
        <v>4</v>
      </c>
    </row>
    <row r="4" spans="1:7" ht="18.75">
      <c r="A4" s="12" t="s">
        <v>6</v>
      </c>
      <c r="B4" s="46">
        <v>11.39</v>
      </c>
      <c r="C4" s="1" t="s">
        <v>196</v>
      </c>
      <c r="F4" s="8" t="s">
        <v>8</v>
      </c>
      <c r="G4" s="9">
        <v>1971</v>
      </c>
    </row>
    <row r="5" spans="1:7" ht="18.75">
      <c r="A5" s="12" t="s">
        <v>6</v>
      </c>
      <c r="B5" s="46">
        <v>11.54</v>
      </c>
      <c r="C5" s="1" t="s">
        <v>197</v>
      </c>
      <c r="F5" s="8"/>
      <c r="G5" s="9"/>
    </row>
    <row r="6" spans="1:7" ht="18.75">
      <c r="A6" s="12" t="s">
        <v>6</v>
      </c>
      <c r="B6" s="46">
        <v>11.59</v>
      </c>
      <c r="C6" s="1" t="s">
        <v>81</v>
      </c>
      <c r="F6" s="8"/>
      <c r="G6" s="9"/>
    </row>
    <row r="7" spans="1:3" ht="18.75">
      <c r="A7" s="12" t="s">
        <v>6</v>
      </c>
      <c r="B7" s="46">
        <v>12.14</v>
      </c>
      <c r="C7" s="1" t="s">
        <v>198</v>
      </c>
    </row>
    <row r="8" spans="1:7" ht="18.75" hidden="1">
      <c r="A8" s="15" t="s">
        <v>12</v>
      </c>
      <c r="B8" s="16">
        <v>246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734</v>
      </c>
      <c r="C11" s="18">
        <v>1191</v>
      </c>
      <c r="D11" s="18">
        <v>734</v>
      </c>
      <c r="E11" s="18">
        <v>1191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126.9</v>
      </c>
      <c r="C13" s="21">
        <v>528.4</v>
      </c>
      <c r="D13" s="21">
        <f>B13+C13</f>
        <v>655.3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56</v>
      </c>
      <c r="C15" s="25">
        <v>0</v>
      </c>
      <c r="D15" s="25">
        <v>56</v>
      </c>
      <c r="E15" s="26">
        <f>D15+C15+B15</f>
        <v>112</v>
      </c>
      <c r="F15" s="18">
        <v>0</v>
      </c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6">
        <f>B8*8.689*12</f>
        <v>25649.928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6">
        <f>B9*35.705*12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6">
        <f>B12*0.3613*12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6">
        <f>(B11*12.84/100*189)+(C11*9.63/100*113)+(D11*32.11/100*71)+(E11*2.41/100*12)</f>
        <v>47851.003899999996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18618.431918396785</v>
      </c>
    </row>
    <row r="22" spans="1:7" ht="15.75">
      <c r="A22" s="29" t="s">
        <v>35</v>
      </c>
      <c r="B22" s="29"/>
      <c r="C22" s="29"/>
      <c r="D22" s="29"/>
      <c r="E22" s="29"/>
      <c r="F22" s="29"/>
      <c r="G22" s="36">
        <f>D13*0.135*6</f>
        <v>530.793</v>
      </c>
    </row>
    <row r="23" spans="1:7" ht="15.75">
      <c r="A23" s="29" t="s">
        <v>36</v>
      </c>
      <c r="B23" s="29"/>
      <c r="C23" s="29"/>
      <c r="D23" s="29"/>
      <c r="E23" s="29"/>
      <c r="F23" s="29"/>
      <c r="G23" s="36">
        <f>114.94+3419.64+948.3+3965.51</f>
        <v>8448.39</v>
      </c>
    </row>
    <row r="24" spans="1:7" ht="15.75">
      <c r="A24" s="29" t="s">
        <v>37</v>
      </c>
      <c r="B24" s="29"/>
      <c r="C24" s="29"/>
      <c r="D24" s="29"/>
      <c r="E24" s="29"/>
      <c r="F24" s="29"/>
      <c r="G24" s="36">
        <f>B3*0.885*12</f>
        <v>28058.04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6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6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6">
        <v>0</v>
      </c>
    </row>
    <row r="28" spans="1:7" ht="15.75">
      <c r="A28" s="29" t="s">
        <v>41</v>
      </c>
      <c r="B28" s="29"/>
      <c r="C28" s="29"/>
      <c r="D28" s="29"/>
      <c r="E28" s="29"/>
      <c r="F28" s="29"/>
      <c r="G28" s="36">
        <v>6002.32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6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6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6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6">
        <f>B3*1.81*6+B3*1.86*6</f>
        <v>58176.840000000004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6">
        <f>(F15*4*8.57)+(B15*2*3.14)+(C15*1*3.14)+(D15*1*3.14)</f>
        <v>527.52</v>
      </c>
    </row>
    <row r="34" spans="1:7" ht="15.75">
      <c r="A34" s="29" t="s">
        <v>47</v>
      </c>
      <c r="B34" s="29"/>
      <c r="C34" s="29"/>
      <c r="D34" s="29"/>
      <c r="E34" s="29"/>
      <c r="F34" s="29"/>
      <c r="G34" s="36">
        <f>B3*0.65*12</f>
        <v>20607.6</v>
      </c>
    </row>
    <row r="35" spans="1:7" ht="15.75">
      <c r="A35" s="29" t="s">
        <v>48</v>
      </c>
      <c r="B35" s="29"/>
      <c r="C35" s="29"/>
      <c r="D35" s="29"/>
      <c r="E35" s="29"/>
      <c r="F35" s="29"/>
      <c r="G35" s="36">
        <f>B3*0.82*12</f>
        <v>25997.28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6">
        <f>B3*0.95*12</f>
        <v>30118.800000000003</v>
      </c>
    </row>
    <row r="37" spans="1:7" ht="15.75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270586.9468183968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5.75" hidden="1">
      <c r="A39" s="29" t="s">
        <v>52</v>
      </c>
      <c r="B39" s="29"/>
      <c r="C39" s="29"/>
      <c r="D39" s="29"/>
      <c r="E39" s="29"/>
      <c r="F39" s="29"/>
      <c r="G39" s="36">
        <f>B3*2.96*12</f>
        <v>93843.84</v>
      </c>
    </row>
    <row r="40" spans="1:7" ht="15.75">
      <c r="A40" s="29" t="s">
        <v>53</v>
      </c>
      <c r="B40" s="29"/>
      <c r="C40" s="29"/>
      <c r="D40" s="29"/>
      <c r="E40" s="29"/>
      <c r="F40" s="29"/>
      <c r="G40" s="36"/>
    </row>
    <row r="41" spans="1:7" ht="17.25" hidden="1">
      <c r="A41" s="37" t="s">
        <v>54</v>
      </c>
      <c r="B41" s="37"/>
      <c r="C41" s="37"/>
      <c r="D41" s="37"/>
      <c r="E41" s="37"/>
      <c r="F41" s="37"/>
      <c r="G41" s="36"/>
    </row>
    <row r="42" spans="1:7" ht="17.25">
      <c r="A42" s="37" t="s">
        <v>55</v>
      </c>
      <c r="B42" s="37"/>
      <c r="C42" s="37"/>
      <c r="D42" s="37"/>
      <c r="E42" s="37"/>
      <c r="F42" s="37"/>
      <c r="G42" s="36"/>
    </row>
    <row r="43" spans="1:7" ht="17.25" hidden="1">
      <c r="A43" s="37" t="s">
        <v>56</v>
      </c>
      <c r="B43" s="37"/>
      <c r="C43" s="37"/>
      <c r="D43" s="37"/>
      <c r="E43" s="37"/>
      <c r="F43" s="37"/>
      <c r="G43" s="36"/>
    </row>
    <row r="44" spans="1:7" ht="17.25" hidden="1">
      <c r="A44" s="37" t="s">
        <v>57</v>
      </c>
      <c r="B44" s="37"/>
      <c r="C44" s="37"/>
      <c r="D44" s="37"/>
      <c r="E44" s="37"/>
      <c r="F44" s="37"/>
      <c r="G44" s="36"/>
    </row>
    <row r="45" spans="1:7" ht="17.25" hidden="1">
      <c r="A45" s="37" t="s">
        <v>58</v>
      </c>
      <c r="B45" s="37"/>
      <c r="C45" s="37"/>
      <c r="D45" s="37"/>
      <c r="E45" s="37"/>
      <c r="F45" s="37"/>
      <c r="G45" s="36"/>
    </row>
    <row r="46" spans="1:7" ht="17.25" hidden="1">
      <c r="A46" s="37" t="s">
        <v>59</v>
      </c>
      <c r="B46" s="37"/>
      <c r="C46" s="37"/>
      <c r="D46" s="37"/>
      <c r="E46" s="37"/>
      <c r="F46" s="37"/>
      <c r="G46" s="36"/>
    </row>
    <row r="47" spans="1:7" ht="17.25">
      <c r="A47" s="37" t="s">
        <v>60</v>
      </c>
      <c r="B47" s="37"/>
      <c r="C47" s="37"/>
      <c r="D47" s="37"/>
      <c r="E47" s="37"/>
      <c r="F47" s="37"/>
      <c r="G47" s="36">
        <f>42.08+2242.7+42.08+42.08+42.08+845.68+42.08</f>
        <v>3298.7799999999993</v>
      </c>
    </row>
    <row r="48" spans="1:7" ht="17.25">
      <c r="A48" s="37" t="s">
        <v>61</v>
      </c>
      <c r="B48" s="37"/>
      <c r="C48" s="37"/>
      <c r="D48" s="37"/>
      <c r="E48" s="37"/>
      <c r="F48" s="37"/>
      <c r="G48" s="36">
        <f>1100.6+1134.82+980.48+6595.63+3150.07+2100.05+2520.06+3780.08</f>
        <v>21361.79</v>
      </c>
    </row>
    <row r="49" spans="1:7" ht="17.25" hidden="1">
      <c r="A49" s="37" t="s">
        <v>176</v>
      </c>
      <c r="B49" s="37"/>
      <c r="C49" s="37"/>
      <c r="D49" s="37"/>
      <c r="E49" s="37"/>
      <c r="F49" s="37"/>
      <c r="G49" s="36"/>
    </row>
    <row r="50" spans="1:7" ht="17.25" hidden="1">
      <c r="A50" s="37" t="s">
        <v>63</v>
      </c>
      <c r="B50" s="37"/>
      <c r="C50" s="37"/>
      <c r="D50" s="37"/>
      <c r="E50" s="37"/>
      <c r="F50" s="37"/>
      <c r="G50" s="36"/>
    </row>
    <row r="51" spans="1:7" ht="17.25" hidden="1">
      <c r="A51" s="37" t="s">
        <v>64</v>
      </c>
      <c r="B51" s="37"/>
      <c r="C51" s="37"/>
      <c r="D51" s="37"/>
      <c r="E51" s="37"/>
      <c r="F51" s="37"/>
      <c r="G51" s="36"/>
    </row>
    <row r="52" spans="1:7" ht="17.25">
      <c r="A52" s="37" t="s">
        <v>65</v>
      </c>
      <c r="B52" s="37"/>
      <c r="C52" s="37"/>
      <c r="D52" s="37"/>
      <c r="E52" s="37"/>
      <c r="F52" s="37"/>
      <c r="G52" s="36">
        <v>18663.84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43324.41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313911.35681839683</v>
      </c>
    </row>
    <row r="57" spans="1:7" ht="16.5">
      <c r="A57" s="29" t="s">
        <v>70</v>
      </c>
      <c r="B57" s="29"/>
      <c r="C57" s="29"/>
      <c r="D57" s="29"/>
      <c r="E57" s="29"/>
      <c r="F57" s="29"/>
      <c r="G57" s="36">
        <f>-1109.79-783.75-1056.32+1337.03-3346.28-571.23-3541.88-1056.32-1109.79-1056.32</f>
        <v>-12294.650000000001</v>
      </c>
    </row>
    <row r="58" spans="1:7" ht="16.5" customHeight="1">
      <c r="A58" s="40" t="s">
        <v>147</v>
      </c>
      <c r="B58" s="40"/>
      <c r="C58" s="40"/>
      <c r="D58" s="40"/>
      <c r="E58" s="40"/>
      <c r="F58" s="40"/>
      <c r="G58" s="39">
        <f>B3*B4*4+B3*B5*2+B3*B6*5+B3*B7*1+G59</f>
        <v>375959.06000000006</v>
      </c>
    </row>
    <row r="59" spans="1:7" ht="16.5">
      <c r="A59" s="41" t="s">
        <v>144</v>
      </c>
      <c r="B59" s="41"/>
      <c r="C59" s="41"/>
      <c r="D59" s="41"/>
      <c r="E59" s="41"/>
      <c r="F59" s="41"/>
      <c r="G59" s="39">
        <f>1*160*12+141.6*1*12+215.6*1*12+269*1*12</f>
        <v>9434.4</v>
      </c>
    </row>
    <row r="60" spans="1:7" ht="17.25" customHeight="1">
      <c r="A60" s="42" t="s">
        <v>73</v>
      </c>
      <c r="B60" s="42"/>
      <c r="C60" s="42"/>
      <c r="D60" s="42"/>
      <c r="E60" s="42"/>
      <c r="F60" s="42"/>
      <c r="G60" s="43">
        <v>51839.15</v>
      </c>
    </row>
    <row r="61" spans="1:7" ht="61.5" customHeight="1">
      <c r="A61" s="44" t="s">
        <v>114</v>
      </c>
      <c r="B61" s="44"/>
      <c r="C61" s="44"/>
      <c r="D61" s="44"/>
      <c r="E61" s="44"/>
      <c r="F61" s="44"/>
      <c r="G61" s="45">
        <f>G56-G58+G60-G57</f>
        <v>2086.096818396778</v>
      </c>
    </row>
    <row r="65" ht="15.7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11"/>
  </sheetPr>
  <dimension ref="A1:G64"/>
  <sheetViews>
    <sheetView zoomScale="75" zoomScaleNormal="75" workbookViewId="0" topLeftCell="A1">
      <selection activeCell="J56" sqref="J56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57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8.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201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3371</v>
      </c>
      <c r="F3" s="8" t="s">
        <v>5</v>
      </c>
      <c r="G3" s="11">
        <v>4</v>
      </c>
    </row>
    <row r="4" spans="1:7" ht="18.75">
      <c r="A4" s="12" t="s">
        <v>6</v>
      </c>
      <c r="B4" s="46">
        <v>11.39</v>
      </c>
      <c r="C4" s="1" t="s">
        <v>196</v>
      </c>
      <c r="F4" s="8" t="s">
        <v>8</v>
      </c>
      <c r="G4" s="9">
        <v>1971</v>
      </c>
    </row>
    <row r="5" spans="1:7" ht="18.75">
      <c r="A5" s="12" t="s">
        <v>6</v>
      </c>
      <c r="B5" s="46">
        <v>11.54</v>
      </c>
      <c r="C5" s="1" t="s">
        <v>197</v>
      </c>
      <c r="F5" s="8"/>
      <c r="G5" s="9"/>
    </row>
    <row r="6" spans="1:7" ht="18.75">
      <c r="A6" s="12" t="s">
        <v>6</v>
      </c>
      <c r="B6" s="46">
        <v>11.59</v>
      </c>
      <c r="C6" s="1" t="s">
        <v>81</v>
      </c>
      <c r="F6" s="8"/>
      <c r="G6" s="9"/>
    </row>
    <row r="7" spans="1:3" ht="18.75">
      <c r="A7" s="12" t="s">
        <v>6</v>
      </c>
      <c r="B7" s="46">
        <v>12.14</v>
      </c>
      <c r="C7" s="1" t="s">
        <v>198</v>
      </c>
    </row>
    <row r="8" spans="1:7" ht="18.75" hidden="1">
      <c r="A8" s="15" t="s">
        <v>12</v>
      </c>
      <c r="B8" s="16">
        <v>366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578</v>
      </c>
      <c r="C11" s="18">
        <v>1228</v>
      </c>
      <c r="D11" s="18">
        <v>521</v>
      </c>
      <c r="E11" s="18">
        <v>1258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276.6</v>
      </c>
      <c r="C13" s="21">
        <v>376.1</v>
      </c>
      <c r="D13" s="21">
        <f>B13+C13</f>
        <v>652.7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48</v>
      </c>
      <c r="C15" s="25">
        <v>0</v>
      </c>
      <c r="D15" s="25">
        <v>48</v>
      </c>
      <c r="E15" s="26">
        <f>D15+C15+B15</f>
        <v>96</v>
      </c>
      <c r="F15" s="18">
        <v>0</v>
      </c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0">
        <f>B8*8.689*12</f>
        <v>38162.088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0">
        <f>B9*35.705*12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0">
        <f>B12*0.3613*12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6">
        <f>(B11*12.84/100*189)+(C11*9.63/100*113)+(D11*32.11/100*71)+(E11*2.41/100*12)</f>
        <v>39631.269700000004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23755.7660851308</v>
      </c>
    </row>
    <row r="22" spans="1:7" ht="15.75">
      <c r="A22" s="29" t="s">
        <v>35</v>
      </c>
      <c r="B22" s="29"/>
      <c r="C22" s="29"/>
      <c r="D22" s="29"/>
      <c r="E22" s="29"/>
      <c r="F22" s="29"/>
      <c r="G22" s="30">
        <f>D13*0.135*6</f>
        <v>528.687</v>
      </c>
    </row>
    <row r="23" spans="1:7" ht="15.75">
      <c r="A23" s="29" t="s">
        <v>36</v>
      </c>
      <c r="B23" s="29"/>
      <c r="C23" s="29"/>
      <c r="D23" s="29"/>
      <c r="E23" s="29"/>
      <c r="F23" s="29"/>
      <c r="G23" s="30">
        <f>114.94+2931.12+2931.12+1264.39+3965.51</f>
        <v>11207.080000000002</v>
      </c>
    </row>
    <row r="24" spans="1:7" ht="15.75">
      <c r="A24" s="29" t="s">
        <v>37</v>
      </c>
      <c r="B24" s="29"/>
      <c r="C24" s="29"/>
      <c r="D24" s="29"/>
      <c r="E24" s="29"/>
      <c r="F24" s="29"/>
      <c r="G24" s="30">
        <f>B3*0.885*12</f>
        <v>35800.020000000004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5.75">
      <c r="A28" s="29" t="s">
        <v>41</v>
      </c>
      <c r="B28" s="29"/>
      <c r="C28" s="29"/>
      <c r="D28" s="29"/>
      <c r="E28" s="29"/>
      <c r="F28" s="29"/>
      <c r="G28" s="30">
        <v>7780.64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0">
        <f>B3*1.81*6+B3*1.86*6</f>
        <v>74229.42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452.15999999999997</v>
      </c>
    </row>
    <row r="34" spans="1:7" ht="15.75">
      <c r="A34" s="29" t="s">
        <v>47</v>
      </c>
      <c r="B34" s="29"/>
      <c r="C34" s="29"/>
      <c r="D34" s="29"/>
      <c r="E34" s="29"/>
      <c r="F34" s="29"/>
      <c r="G34" s="30">
        <f>B3*0.65*12</f>
        <v>26293.800000000003</v>
      </c>
    </row>
    <row r="35" spans="1:7" ht="15.75">
      <c r="A35" s="29" t="s">
        <v>48</v>
      </c>
      <c r="B35" s="29"/>
      <c r="C35" s="29"/>
      <c r="D35" s="29"/>
      <c r="E35" s="29"/>
      <c r="F35" s="29"/>
      <c r="G35" s="30">
        <f>B3*0.82*12</f>
        <v>33170.64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B3*0.95*12</f>
        <v>38429.4</v>
      </c>
    </row>
    <row r="37" spans="1:7" ht="15.7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329440.97078513086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5.75" hidden="1">
      <c r="A39" s="29" t="s">
        <v>52</v>
      </c>
      <c r="B39" s="29"/>
      <c r="C39" s="29"/>
      <c r="D39" s="29"/>
      <c r="E39" s="29"/>
      <c r="F39" s="29"/>
      <c r="G39" s="36">
        <f>B3*2.96*12</f>
        <v>119737.92</v>
      </c>
    </row>
    <row r="40" spans="1:7" ht="15.75">
      <c r="A40" s="29" t="s">
        <v>53</v>
      </c>
      <c r="B40" s="29"/>
      <c r="C40" s="29"/>
      <c r="D40" s="29"/>
      <c r="E40" s="29"/>
      <c r="F40" s="29"/>
      <c r="G40" s="36"/>
    </row>
    <row r="41" spans="1:7" ht="16.5">
      <c r="A41" s="37" t="s">
        <v>54</v>
      </c>
      <c r="B41" s="37"/>
      <c r="C41" s="37"/>
      <c r="D41" s="37"/>
      <c r="E41" s="37"/>
      <c r="F41" s="37"/>
      <c r="G41" s="36"/>
    </row>
    <row r="42" spans="1:7" ht="16.5">
      <c r="A42" s="37" t="s">
        <v>55</v>
      </c>
      <c r="B42" s="37"/>
      <c r="C42" s="37"/>
      <c r="D42" s="37"/>
      <c r="E42" s="37"/>
      <c r="F42" s="37"/>
      <c r="G42" s="30"/>
    </row>
    <row r="43" spans="1:7" ht="16.5">
      <c r="A43" s="37" t="s">
        <v>56</v>
      </c>
      <c r="B43" s="37"/>
      <c r="C43" s="37"/>
      <c r="D43" s="37"/>
      <c r="E43" s="37"/>
      <c r="F43" s="37"/>
      <c r="G43" s="30"/>
    </row>
    <row r="44" spans="1:7" ht="16.5" hidden="1">
      <c r="A44" s="37" t="s">
        <v>57</v>
      </c>
      <c r="B44" s="37"/>
      <c r="C44" s="37"/>
      <c r="D44" s="37"/>
      <c r="E44" s="37"/>
      <c r="F44" s="37"/>
      <c r="G44" s="30"/>
    </row>
    <row r="45" spans="1:7" ht="16.5" hidden="1">
      <c r="A45" s="37" t="s">
        <v>58</v>
      </c>
      <c r="B45" s="37"/>
      <c r="C45" s="37"/>
      <c r="D45" s="37"/>
      <c r="E45" s="37"/>
      <c r="F45" s="37"/>
      <c r="G45" s="30"/>
    </row>
    <row r="46" spans="1:7" ht="16.5">
      <c r="A46" s="37" t="s">
        <v>59</v>
      </c>
      <c r="B46" s="37"/>
      <c r="C46" s="37"/>
      <c r="D46" s="37"/>
      <c r="E46" s="37"/>
      <c r="F46" s="37"/>
      <c r="G46" s="30">
        <v>377.99</v>
      </c>
    </row>
    <row r="47" spans="1:7" ht="16.5">
      <c r="A47" s="37" t="s">
        <v>60</v>
      </c>
      <c r="B47" s="37"/>
      <c r="C47" s="37"/>
      <c r="D47" s="37"/>
      <c r="E47" s="37"/>
      <c r="F47" s="37"/>
      <c r="G47" s="30">
        <v>766.63</v>
      </c>
    </row>
    <row r="48" spans="1:7" ht="17.25">
      <c r="A48" s="37" t="s">
        <v>61</v>
      </c>
      <c r="B48" s="37"/>
      <c r="C48" s="37"/>
      <c r="D48" s="37"/>
      <c r="E48" s="37"/>
      <c r="F48" s="37"/>
      <c r="G48" s="30">
        <v>10920.24</v>
      </c>
    </row>
    <row r="49" spans="1:7" ht="17.25">
      <c r="A49" s="37" t="s">
        <v>62</v>
      </c>
      <c r="B49" s="37"/>
      <c r="C49" s="37"/>
      <c r="D49" s="37"/>
      <c r="E49" s="37"/>
      <c r="F49" s="37"/>
      <c r="G49" s="30">
        <f>1211.31+2216.87+7180.77</f>
        <v>10608.95</v>
      </c>
    </row>
    <row r="50" spans="1:7" ht="17.25" hidden="1">
      <c r="A50" s="37" t="s">
        <v>63</v>
      </c>
      <c r="B50" s="37"/>
      <c r="C50" s="37"/>
      <c r="D50" s="37"/>
      <c r="E50" s="37"/>
      <c r="F50" s="37"/>
      <c r="G50" s="30"/>
    </row>
    <row r="51" spans="1:7" ht="17.25" hidden="1">
      <c r="A51" s="37" t="s">
        <v>64</v>
      </c>
      <c r="B51" s="37"/>
      <c r="C51" s="37"/>
      <c r="D51" s="37"/>
      <c r="E51" s="37"/>
      <c r="F51" s="37"/>
      <c r="G51" s="30"/>
    </row>
    <row r="52" spans="1:7" ht="17.25">
      <c r="A52" s="37" t="s">
        <v>65</v>
      </c>
      <c r="B52" s="37"/>
      <c r="C52" s="37"/>
      <c r="D52" s="37"/>
      <c r="E52" s="37"/>
      <c r="F52" s="37"/>
      <c r="G52" s="30">
        <v>26799.36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49473.17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4">
        <f>G37+G55</f>
        <v>378914.14078513085</v>
      </c>
    </row>
    <row r="57" spans="1:7" ht="15.75">
      <c r="A57" s="29" t="s">
        <v>70</v>
      </c>
      <c r="B57" s="29"/>
      <c r="C57" s="29"/>
      <c r="D57" s="29"/>
      <c r="E57" s="29"/>
      <c r="F57" s="29"/>
      <c r="G57" s="30">
        <f>-1092.31-406.54-672.13-975.74</f>
        <v>-3146.7200000000003</v>
      </c>
    </row>
    <row r="58" spans="1:7" ht="16.5" customHeight="1">
      <c r="A58" s="40" t="s">
        <v>147</v>
      </c>
      <c r="B58" s="40"/>
      <c r="C58" s="40"/>
      <c r="D58" s="40"/>
      <c r="E58" s="40"/>
      <c r="F58" s="40"/>
      <c r="G58" s="39">
        <f>B3*B4*4+B3*B5*2+B3*B6*5+B3*B7*1+G59</f>
        <v>474506.03</v>
      </c>
    </row>
    <row r="59" spans="1:7" ht="16.5">
      <c r="A59" s="41" t="s">
        <v>144</v>
      </c>
      <c r="B59" s="41"/>
      <c r="C59" s="41"/>
      <c r="D59" s="41"/>
      <c r="E59" s="41"/>
      <c r="F59" s="41"/>
      <c r="G59" s="34">
        <f>160*1*12+141.6*1*12+269*1*12</f>
        <v>6847.2</v>
      </c>
    </row>
    <row r="60" spans="1:7" ht="17.25" customHeight="1">
      <c r="A60" s="42" t="s">
        <v>73</v>
      </c>
      <c r="B60" s="42"/>
      <c r="C60" s="42"/>
      <c r="D60" s="42"/>
      <c r="E60" s="42"/>
      <c r="F60" s="42"/>
      <c r="G60" s="47">
        <v>16566.55</v>
      </c>
    </row>
    <row r="61" spans="1:7" ht="57" customHeight="1">
      <c r="A61" s="44" t="s">
        <v>114</v>
      </c>
      <c r="B61" s="44"/>
      <c r="C61" s="44"/>
      <c r="D61" s="44"/>
      <c r="E61" s="44"/>
      <c r="F61" s="44"/>
      <c r="G61" s="45">
        <f>G56-G58+G60-G57</f>
        <v>-75878.61921486918</v>
      </c>
    </row>
    <row r="64" ht="15.75">
      <c r="A64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11"/>
  </sheetPr>
  <dimension ref="A1:G65"/>
  <sheetViews>
    <sheetView zoomScale="75" zoomScaleNormal="75" workbookViewId="0" topLeftCell="A16">
      <selection activeCell="G36" sqref="G36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0.00390625" style="1" customWidth="1"/>
    <col min="7" max="7" width="14.14062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6.2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202</v>
      </c>
      <c r="C2" s="7"/>
      <c r="D2" s="7"/>
      <c r="E2" s="7"/>
      <c r="F2" s="8" t="s">
        <v>3</v>
      </c>
      <c r="G2" s="9">
        <v>9</v>
      </c>
    </row>
    <row r="3" spans="1:7" ht="18.75">
      <c r="A3" s="6" t="s">
        <v>4</v>
      </c>
      <c r="B3" s="10">
        <v>11985.4</v>
      </c>
      <c r="F3" s="76" t="s">
        <v>5</v>
      </c>
      <c r="G3" s="11">
        <v>5</v>
      </c>
    </row>
    <row r="4" spans="1:7" ht="18.75">
      <c r="A4" s="12" t="s">
        <v>6</v>
      </c>
      <c r="B4" s="46">
        <v>14.53</v>
      </c>
      <c r="C4" s="1" t="s">
        <v>196</v>
      </c>
      <c r="F4" s="8" t="s">
        <v>8</v>
      </c>
      <c r="G4" s="9">
        <v>1984</v>
      </c>
    </row>
    <row r="5" spans="1:7" ht="18.75">
      <c r="A5" s="12" t="s">
        <v>6</v>
      </c>
      <c r="B5" s="46">
        <v>14.68</v>
      </c>
      <c r="C5" s="1" t="s">
        <v>197</v>
      </c>
      <c r="F5" s="8"/>
      <c r="G5" s="9"/>
    </row>
    <row r="6" spans="1:7" ht="18.75">
      <c r="A6" s="12" t="s">
        <v>6</v>
      </c>
      <c r="B6" s="46">
        <v>14.73</v>
      </c>
      <c r="C6" s="1" t="s">
        <v>81</v>
      </c>
      <c r="F6" s="8"/>
      <c r="G6" s="9"/>
    </row>
    <row r="7" spans="1:3" ht="18.75">
      <c r="A7" s="12" t="s">
        <v>6</v>
      </c>
      <c r="B7" s="46">
        <v>15.28</v>
      </c>
      <c r="C7" s="1" t="s">
        <v>198</v>
      </c>
    </row>
    <row r="8" spans="1:7" ht="18.75" hidden="1">
      <c r="A8" s="15" t="s">
        <v>12</v>
      </c>
      <c r="B8" s="16">
        <v>1568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5</v>
      </c>
      <c r="C9" s="17" t="s">
        <v>136</v>
      </c>
      <c r="D9" s="17">
        <v>5</v>
      </c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2155</v>
      </c>
      <c r="C11" s="18">
        <v>1430</v>
      </c>
      <c r="D11" s="18">
        <v>1755</v>
      </c>
      <c r="E11" s="18">
        <v>1830</v>
      </c>
      <c r="F11" s="17"/>
      <c r="G11" s="17"/>
    </row>
    <row r="12" spans="1:7" ht="18.75" hidden="1">
      <c r="A12" s="15" t="s">
        <v>19</v>
      </c>
      <c r="B12" s="21">
        <v>0</v>
      </c>
      <c r="C12" s="17" t="s">
        <v>137</v>
      </c>
      <c r="D12" s="17"/>
      <c r="E12" s="17"/>
      <c r="F12" s="17"/>
      <c r="G12" s="17"/>
    </row>
    <row r="13" spans="1:7" ht="18.75" hidden="1">
      <c r="A13" s="15" t="s">
        <v>21</v>
      </c>
      <c r="B13" s="21">
        <v>522.6</v>
      </c>
      <c r="C13" s="21">
        <v>1332.9</v>
      </c>
      <c r="D13" s="21">
        <f>B13+C13</f>
        <v>1855.5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220</v>
      </c>
      <c r="C15" s="25">
        <v>220</v>
      </c>
      <c r="D15" s="25">
        <v>0</v>
      </c>
      <c r="E15" s="26">
        <f>D15+C15+B15</f>
        <v>440</v>
      </c>
      <c r="F15" s="18">
        <v>0</v>
      </c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0">
        <f>B8*8.689*12</f>
        <v>163492.22400000002</v>
      </c>
    </row>
    <row r="18" spans="1:7" ht="15.75">
      <c r="A18" s="29" t="s">
        <v>31</v>
      </c>
      <c r="B18" s="29"/>
      <c r="C18" s="29"/>
      <c r="D18" s="29"/>
      <c r="E18" s="29"/>
      <c r="F18" s="29"/>
      <c r="G18" s="30">
        <f>B9*19.029*12</f>
        <v>1141.74</v>
      </c>
    </row>
    <row r="19" spans="1:7" ht="15.75" customHeight="1">
      <c r="A19" s="29" t="s">
        <v>32</v>
      </c>
      <c r="B19" s="29"/>
      <c r="C19" s="29"/>
      <c r="D19" s="29"/>
      <c r="E19" s="29"/>
      <c r="F19" s="29"/>
      <c r="G19" s="30">
        <f>B12*0.3613*4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0">
        <f>(B11*12.84/100*189)+(C11*9.63/100*113)+(D11*32.11/100*71)+(E11*2.41/100*12)</f>
        <v>108397.69649999999</v>
      </c>
    </row>
    <row r="21" spans="1:7" ht="17.2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84462.28384358548</v>
      </c>
    </row>
    <row r="22" spans="1:7" ht="15.75">
      <c r="A22" s="29" t="s">
        <v>35</v>
      </c>
      <c r="B22" s="29"/>
      <c r="C22" s="29"/>
      <c r="D22" s="29"/>
      <c r="E22" s="29"/>
      <c r="F22" s="29"/>
      <c r="G22" s="30">
        <f>D13*0.135*6+1813.1+1332.9+3172.93</f>
        <v>7821.885</v>
      </c>
    </row>
    <row r="23" spans="1:7" ht="15.75">
      <c r="A23" s="29" t="s">
        <v>36</v>
      </c>
      <c r="B23" s="29"/>
      <c r="C23" s="29"/>
      <c r="D23" s="29"/>
      <c r="E23" s="29"/>
      <c r="F23" s="29"/>
      <c r="G23" s="30">
        <f>114.94+13434.3+1580.49+538.79+9051.78</f>
        <v>24720.300000000003</v>
      </c>
    </row>
    <row r="24" spans="1:7" ht="15.75">
      <c r="A24" s="29" t="s">
        <v>37</v>
      </c>
      <c r="B24" s="29"/>
      <c r="C24" s="29"/>
      <c r="D24" s="29"/>
      <c r="E24" s="29"/>
      <c r="F24" s="29"/>
      <c r="G24" s="30">
        <f>B3*0.885*12</f>
        <v>127284.948</v>
      </c>
    </row>
    <row r="25" spans="1:7" ht="16.5">
      <c r="A25" s="29" t="s">
        <v>87</v>
      </c>
      <c r="B25" s="29"/>
      <c r="C25" s="29"/>
      <c r="D25" s="29"/>
      <c r="E25" s="29"/>
      <c r="F25" s="29"/>
      <c r="G25" s="30">
        <f>B3*2.648*4+B3*2.245*8</f>
        <v>342207.14080000005</v>
      </c>
    </row>
    <row r="26" spans="1:7" ht="15.75">
      <c r="A26" s="29" t="s">
        <v>39</v>
      </c>
      <c r="B26" s="29"/>
      <c r="C26" s="29"/>
      <c r="D26" s="29"/>
      <c r="E26" s="29"/>
      <c r="F26" s="29"/>
      <c r="G26" s="30">
        <f>2201+9990+9990+9990+9990</f>
        <v>42161</v>
      </c>
    </row>
    <row r="27" spans="1:7" ht="15.75">
      <c r="A27" s="29" t="s">
        <v>40</v>
      </c>
      <c r="B27" s="29"/>
      <c r="C27" s="29"/>
      <c r="D27" s="29"/>
      <c r="E27" s="29"/>
      <c r="F27" s="29"/>
      <c r="G27" s="30">
        <f>5*1209</f>
        <v>6045</v>
      </c>
    </row>
    <row r="28" spans="1:7" ht="15.75">
      <c r="A28" s="29" t="s">
        <v>41</v>
      </c>
      <c r="B28" s="29"/>
      <c r="C28" s="29"/>
      <c r="D28" s="29"/>
      <c r="E28" s="29"/>
      <c r="F28" s="29"/>
      <c r="G28" s="30">
        <f>21120+3017.52</f>
        <v>24137.52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0">
        <f>B3*1.81*6+B3*1.86*6</f>
        <v>263918.508</v>
      </c>
    </row>
    <row r="33" spans="1:7" ht="17.2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2072.4</v>
      </c>
    </row>
    <row r="34" spans="1:7" ht="15.75">
      <c r="A34" s="29" t="s">
        <v>47</v>
      </c>
      <c r="B34" s="29"/>
      <c r="C34" s="29"/>
      <c r="D34" s="29"/>
      <c r="E34" s="29"/>
      <c r="F34" s="29"/>
      <c r="G34" s="30">
        <f>B3*0.65*12</f>
        <v>93486.12</v>
      </c>
    </row>
    <row r="35" spans="1:7" ht="15.75">
      <c r="A35" s="29" t="s">
        <v>48</v>
      </c>
      <c r="B35" s="29"/>
      <c r="C35" s="29"/>
      <c r="D35" s="29"/>
      <c r="E35" s="29"/>
      <c r="F35" s="29"/>
      <c r="G35" s="30">
        <f>B3*0.82*12</f>
        <v>117936.33600000001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B3*0.95*12</f>
        <v>136633.56</v>
      </c>
    </row>
    <row r="37" spans="1:7" ht="15.7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1545918.6621435857</v>
      </c>
    </row>
    <row r="38" spans="1:7" ht="17.2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5.75" hidden="1">
      <c r="A39" s="29" t="s">
        <v>52</v>
      </c>
      <c r="B39" s="29"/>
      <c r="C39" s="29"/>
      <c r="D39" s="29"/>
      <c r="E39" s="29"/>
      <c r="F39" s="29"/>
      <c r="G39" s="30">
        <f>B3*2.96*12</f>
        <v>425721.408</v>
      </c>
    </row>
    <row r="40" spans="1:7" ht="15.75">
      <c r="A40" s="29" t="s">
        <v>53</v>
      </c>
      <c r="B40" s="29"/>
      <c r="C40" s="29"/>
      <c r="D40" s="29"/>
      <c r="E40" s="29"/>
      <c r="F40" s="29"/>
      <c r="G40" s="30"/>
    </row>
    <row r="41" spans="1:7" ht="16.5">
      <c r="A41" s="37" t="s">
        <v>54</v>
      </c>
      <c r="B41" s="37"/>
      <c r="C41" s="37"/>
      <c r="D41" s="37"/>
      <c r="E41" s="37"/>
      <c r="F41" s="37"/>
      <c r="G41" s="30">
        <f>3789.05+3009.3+5863.14</f>
        <v>12661.490000000002</v>
      </c>
    </row>
    <row r="42" spans="1:7" ht="16.5">
      <c r="A42" s="37" t="s">
        <v>55</v>
      </c>
      <c r="B42" s="37"/>
      <c r="C42" s="37"/>
      <c r="D42" s="37"/>
      <c r="E42" s="37"/>
      <c r="F42" s="37"/>
      <c r="G42" s="30">
        <f>867.48+2882.94</f>
        <v>3750.42</v>
      </c>
    </row>
    <row r="43" spans="1:7" ht="16.5">
      <c r="A43" s="37" t="s">
        <v>56</v>
      </c>
      <c r="B43" s="37"/>
      <c r="C43" s="37"/>
      <c r="D43" s="37"/>
      <c r="E43" s="37"/>
      <c r="F43" s="37"/>
      <c r="G43" s="30"/>
    </row>
    <row r="44" spans="1:7" ht="16.5" hidden="1">
      <c r="A44" s="37" t="s">
        <v>57</v>
      </c>
      <c r="B44" s="37"/>
      <c r="C44" s="37"/>
      <c r="D44" s="37"/>
      <c r="E44" s="37"/>
      <c r="F44" s="37"/>
      <c r="G44" s="30"/>
    </row>
    <row r="45" spans="1:7" ht="16.5">
      <c r="A45" s="37" t="s">
        <v>58</v>
      </c>
      <c r="B45" s="37"/>
      <c r="C45" s="37"/>
      <c r="D45" s="37"/>
      <c r="E45" s="37"/>
      <c r="F45" s="37"/>
      <c r="G45" s="30">
        <v>52243.77</v>
      </c>
    </row>
    <row r="46" spans="1:7" ht="16.5">
      <c r="A46" s="37" t="s">
        <v>59</v>
      </c>
      <c r="B46" s="37"/>
      <c r="C46" s="37"/>
      <c r="D46" s="37"/>
      <c r="E46" s="37"/>
      <c r="F46" s="37"/>
      <c r="G46" s="30">
        <v>5801.54</v>
      </c>
    </row>
    <row r="47" spans="1:7" ht="16.5">
      <c r="A47" s="37" t="s">
        <v>60</v>
      </c>
      <c r="B47" s="37"/>
      <c r="C47" s="37"/>
      <c r="D47" s="37"/>
      <c r="E47" s="37"/>
      <c r="F47" s="37"/>
      <c r="G47" s="30">
        <f>42.07+3758.37+42.08+42.08+1576.06+42.08</f>
        <v>5502.74</v>
      </c>
    </row>
    <row r="48" spans="1:7" ht="16.5">
      <c r="A48" s="37" t="s">
        <v>61</v>
      </c>
      <c r="B48" s="37"/>
      <c r="C48" s="37"/>
      <c r="D48" s="37"/>
      <c r="E48" s="37"/>
      <c r="F48" s="37"/>
      <c r="G48" s="30">
        <f>811.04+10920.24</f>
        <v>11731.279999999999</v>
      </c>
    </row>
    <row r="49" spans="1:7" ht="17.25">
      <c r="A49" s="37" t="s">
        <v>62</v>
      </c>
      <c r="B49" s="37"/>
      <c r="C49" s="37"/>
      <c r="D49" s="37"/>
      <c r="E49" s="37"/>
      <c r="F49" s="37"/>
      <c r="G49" s="30">
        <v>892.33</v>
      </c>
    </row>
    <row r="50" spans="1:7" ht="17.25">
      <c r="A50" s="37" t="s">
        <v>203</v>
      </c>
      <c r="B50" s="37"/>
      <c r="C50" s="37"/>
      <c r="D50" s="37"/>
      <c r="E50" s="37"/>
      <c r="F50" s="37"/>
      <c r="G50" s="30">
        <v>1617.36</v>
      </c>
    </row>
    <row r="51" spans="1:7" ht="17.25">
      <c r="A51" s="37" t="s">
        <v>64</v>
      </c>
      <c r="B51" s="37"/>
      <c r="C51" s="37"/>
      <c r="D51" s="37"/>
      <c r="E51" s="37"/>
      <c r="F51" s="37"/>
      <c r="G51" s="30">
        <v>8541.5</v>
      </c>
    </row>
    <row r="52" spans="1:7" ht="17.25">
      <c r="A52" s="37" t="s">
        <v>65</v>
      </c>
      <c r="B52" s="37"/>
      <c r="C52" s="37"/>
      <c r="D52" s="37"/>
      <c r="E52" s="37"/>
      <c r="F52" s="37"/>
      <c r="G52" s="30">
        <v>83748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8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186490.43</v>
      </c>
    </row>
    <row r="56" spans="1:7" ht="17.25" customHeight="1">
      <c r="A56" s="38" t="s">
        <v>69</v>
      </c>
      <c r="B56" s="38"/>
      <c r="C56" s="38"/>
      <c r="D56" s="38"/>
      <c r="E56" s="38"/>
      <c r="F56" s="38"/>
      <c r="G56" s="34">
        <f>G37+G55</f>
        <v>1732409.0921435857</v>
      </c>
    </row>
    <row r="57" spans="1:7" ht="17.25">
      <c r="A57" s="29" t="s">
        <v>70</v>
      </c>
      <c r="B57" s="29"/>
      <c r="C57" s="29"/>
      <c r="D57" s="29"/>
      <c r="E57" s="29"/>
      <c r="F57" s="29"/>
      <c r="G57" s="77">
        <f>-7866.66-1015.08-7105.14</f>
        <v>-15986.880000000001</v>
      </c>
    </row>
    <row r="58" spans="1:7" ht="16.5" customHeight="1">
      <c r="A58" s="40" t="s">
        <v>147</v>
      </c>
      <c r="B58" s="40"/>
      <c r="C58" s="40"/>
      <c r="D58" s="40"/>
      <c r="E58" s="40"/>
      <c r="F58" s="40"/>
      <c r="G58" s="39">
        <f>B3*B4*4+B3*B5*2+B3*B6*5+B3*B7*1+G59</f>
        <v>2134912.414</v>
      </c>
    </row>
    <row r="59" spans="1:7" ht="16.5">
      <c r="A59" s="41" t="s">
        <v>144</v>
      </c>
      <c r="B59" s="41"/>
      <c r="C59" s="41"/>
      <c r="D59" s="41"/>
      <c r="E59" s="41"/>
      <c r="F59" s="41"/>
      <c r="G59" s="30">
        <f>160*2*12+141.6*1*12+215.6*2*12+141.6*2*12+269*2*12</f>
        <v>20568</v>
      </c>
    </row>
    <row r="60" spans="1:7" ht="21.75" customHeight="1">
      <c r="A60" s="42" t="s">
        <v>73</v>
      </c>
      <c r="B60" s="42"/>
      <c r="C60" s="42"/>
      <c r="D60" s="42"/>
      <c r="E60" s="42"/>
      <c r="F60" s="42"/>
      <c r="G60" s="47">
        <v>148874.54</v>
      </c>
    </row>
    <row r="61" spans="1:7" ht="57.75" customHeight="1">
      <c r="A61" s="44" t="s">
        <v>114</v>
      </c>
      <c r="B61" s="44"/>
      <c r="C61" s="44"/>
      <c r="D61" s="44"/>
      <c r="E61" s="44"/>
      <c r="F61" s="44"/>
      <c r="G61" s="54">
        <f>G56-G58+G60-G57</f>
        <v>-237641.9018564142</v>
      </c>
    </row>
    <row r="65" ht="15.7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11"/>
  </sheetPr>
  <dimension ref="A1:G64"/>
  <sheetViews>
    <sheetView zoomScale="75" zoomScaleNormal="75" workbookViewId="0" topLeftCell="A1">
      <selection activeCell="A48" sqref="A48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2812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48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76</v>
      </c>
      <c r="B2" s="7" t="s">
        <v>204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78</v>
      </c>
      <c r="B3" s="10">
        <v>2917.2</v>
      </c>
      <c r="F3" s="8" t="s">
        <v>5</v>
      </c>
      <c r="G3" s="11">
        <v>4</v>
      </c>
    </row>
    <row r="4" spans="1:7" ht="18.75">
      <c r="A4" s="12" t="s">
        <v>79</v>
      </c>
      <c r="B4" s="46">
        <v>11.39</v>
      </c>
      <c r="C4" s="1" t="s">
        <v>196</v>
      </c>
      <c r="F4" s="8" t="s">
        <v>8</v>
      </c>
      <c r="G4" s="9">
        <v>1987</v>
      </c>
    </row>
    <row r="5" spans="1:7" ht="18.75">
      <c r="A5" s="12" t="s">
        <v>79</v>
      </c>
      <c r="B5" s="46">
        <v>11.54</v>
      </c>
      <c r="C5" s="1" t="s">
        <v>197</v>
      </c>
      <c r="F5" s="8"/>
      <c r="G5" s="9"/>
    </row>
    <row r="6" spans="1:7" ht="18.75">
      <c r="A6" s="12" t="s">
        <v>79</v>
      </c>
      <c r="B6" s="46">
        <v>11.59</v>
      </c>
      <c r="C6" s="1" t="s">
        <v>81</v>
      </c>
      <c r="F6" s="8"/>
      <c r="G6" s="9"/>
    </row>
    <row r="7" spans="1:3" ht="18.75">
      <c r="A7" s="12" t="s">
        <v>79</v>
      </c>
      <c r="B7" s="46">
        <v>12.14</v>
      </c>
      <c r="C7" s="1" t="s">
        <v>198</v>
      </c>
    </row>
    <row r="8" spans="1:7" ht="18.75" hidden="1">
      <c r="A8" s="15" t="s">
        <v>12</v>
      </c>
      <c r="B8" s="16">
        <v>225.2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1029</v>
      </c>
      <c r="C11" s="18">
        <v>2978</v>
      </c>
      <c r="D11" s="18">
        <v>821</v>
      </c>
      <c r="E11" s="18">
        <v>3186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740</v>
      </c>
      <c r="C13" s="21">
        <v>583.4</v>
      </c>
      <c r="D13" s="21">
        <f>B13+C13</f>
        <v>1323.4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60</v>
      </c>
      <c r="C15" s="25">
        <v>60</v>
      </c>
      <c r="D15" s="25">
        <v>0</v>
      </c>
      <c r="E15" s="26">
        <f>D15+C15+B15</f>
        <v>120</v>
      </c>
      <c r="F15" s="18">
        <v>0</v>
      </c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0">
        <f>B8*8.689*12</f>
        <v>23481.153599999998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0">
        <f>B9*19.03*12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0">
        <f>B12*0.4523*12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0">
        <f>(B11*12.84/100*189)+(C11*9.63/100*113)+(D11*32.11/100*71)+(E11*2.41/100*12)</f>
        <v>77016.2899</v>
      </c>
    </row>
    <row r="21" spans="1:7" ht="17.2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20557.79318408293</v>
      </c>
    </row>
    <row r="22" spans="1:7" ht="15.75">
      <c r="A22" s="29" t="s">
        <v>35</v>
      </c>
      <c r="B22" s="29"/>
      <c r="C22" s="29"/>
      <c r="D22" s="29"/>
      <c r="E22" s="29"/>
      <c r="F22" s="29"/>
      <c r="G22" s="30">
        <f>D13*0.135*6</f>
        <v>1071.9540000000002</v>
      </c>
    </row>
    <row r="23" spans="1:7" ht="15.75">
      <c r="A23" s="29" t="s">
        <v>36</v>
      </c>
      <c r="B23" s="29"/>
      <c r="C23" s="29"/>
      <c r="D23" s="29"/>
      <c r="E23" s="29"/>
      <c r="F23" s="29"/>
      <c r="G23" s="30">
        <v>0</v>
      </c>
    </row>
    <row r="24" spans="1:7" ht="15.75">
      <c r="A24" s="29" t="s">
        <v>37</v>
      </c>
      <c r="B24" s="29"/>
      <c r="C24" s="29"/>
      <c r="D24" s="29"/>
      <c r="E24" s="29"/>
      <c r="F24" s="29"/>
      <c r="G24" s="30">
        <f>B3*0.885*12</f>
        <v>30980.663999999997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5.75">
      <c r="A28" s="29" t="s">
        <v>41</v>
      </c>
      <c r="B28" s="29"/>
      <c r="C28" s="29"/>
      <c r="D28" s="29"/>
      <c r="E28" s="29"/>
      <c r="F28" s="29"/>
      <c r="G28" s="30">
        <v>7511.08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0">
        <f>B3*1.81*6+B3*1.86*6</f>
        <v>64236.74399999999</v>
      </c>
    </row>
    <row r="33" spans="1:7" ht="17.2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565.2</v>
      </c>
    </row>
    <row r="34" spans="1:7" ht="15.75">
      <c r="A34" s="29" t="s">
        <v>47</v>
      </c>
      <c r="B34" s="29"/>
      <c r="C34" s="29"/>
      <c r="D34" s="29"/>
      <c r="E34" s="29"/>
      <c r="F34" s="29"/>
      <c r="G34" s="30">
        <f>B3*0.65*12</f>
        <v>22754.159999999996</v>
      </c>
    </row>
    <row r="35" spans="1:7" ht="15.75">
      <c r="A35" s="29" t="s">
        <v>48</v>
      </c>
      <c r="B35" s="29"/>
      <c r="C35" s="29"/>
      <c r="D35" s="29"/>
      <c r="E35" s="29"/>
      <c r="F35" s="29"/>
      <c r="G35" s="30">
        <f>B3*0.82*12</f>
        <v>28705.248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B3*0.9*12</f>
        <v>31505.760000000002</v>
      </c>
    </row>
    <row r="37" spans="1:7" ht="15.7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308386.0466840829</v>
      </c>
    </row>
    <row r="38" spans="1:7" ht="17.2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5.75" hidden="1">
      <c r="A39" s="29" t="s">
        <v>52</v>
      </c>
      <c r="B39" s="29"/>
      <c r="C39" s="29"/>
      <c r="D39" s="29"/>
      <c r="E39" s="29"/>
      <c r="F39" s="29"/>
      <c r="G39" s="30">
        <f>B3*3.47*12</f>
        <v>121472.20799999998</v>
      </c>
    </row>
    <row r="40" spans="1:7" ht="15.75">
      <c r="A40" s="29" t="s">
        <v>53</v>
      </c>
      <c r="B40" s="29"/>
      <c r="C40" s="29"/>
      <c r="D40" s="29"/>
      <c r="E40" s="29"/>
      <c r="F40" s="29"/>
      <c r="G40" s="30"/>
    </row>
    <row r="41" spans="1:7" ht="15.75">
      <c r="A41" s="37" t="s">
        <v>54</v>
      </c>
      <c r="B41" s="37"/>
      <c r="C41" s="37"/>
      <c r="D41" s="37"/>
      <c r="E41" s="37"/>
      <c r="F41" s="37"/>
      <c r="G41" s="30">
        <f>5686.93+1807.54</f>
        <v>7494.47</v>
      </c>
    </row>
    <row r="42" spans="1:7" ht="17.25">
      <c r="A42" s="37" t="s">
        <v>55</v>
      </c>
      <c r="B42" s="37"/>
      <c r="C42" s="37"/>
      <c r="D42" s="37"/>
      <c r="E42" s="37"/>
      <c r="F42" s="37"/>
      <c r="G42" s="30"/>
    </row>
    <row r="43" spans="1:7" ht="17.25">
      <c r="A43" s="37" t="s">
        <v>56</v>
      </c>
      <c r="B43" s="37"/>
      <c r="C43" s="37"/>
      <c r="D43" s="37"/>
      <c r="E43" s="37"/>
      <c r="F43" s="37"/>
      <c r="G43" s="30"/>
    </row>
    <row r="44" spans="1:7" ht="17.25" hidden="1">
      <c r="A44" s="37" t="s">
        <v>57</v>
      </c>
      <c r="B44" s="37"/>
      <c r="C44" s="37"/>
      <c r="D44" s="37"/>
      <c r="E44" s="37"/>
      <c r="F44" s="37"/>
      <c r="G44" s="30"/>
    </row>
    <row r="45" spans="1:7" ht="17.25" hidden="1">
      <c r="A45" s="37" t="s">
        <v>58</v>
      </c>
      <c r="B45" s="37"/>
      <c r="C45" s="37"/>
      <c r="D45" s="37"/>
      <c r="E45" s="37"/>
      <c r="F45" s="37"/>
      <c r="G45" s="30"/>
    </row>
    <row r="46" spans="1:7" ht="17.25" hidden="1">
      <c r="A46" s="37" t="s">
        <v>59</v>
      </c>
      <c r="B46" s="37"/>
      <c r="C46" s="37"/>
      <c r="D46" s="37"/>
      <c r="E46" s="37"/>
      <c r="F46" s="37"/>
      <c r="G46" s="30"/>
    </row>
    <row r="47" spans="1:7" ht="16.5">
      <c r="A47" s="37" t="s">
        <v>60</v>
      </c>
      <c r="B47" s="37"/>
      <c r="C47" s="37"/>
      <c r="D47" s="37"/>
      <c r="E47" s="37"/>
      <c r="F47" s="37"/>
      <c r="G47" s="30">
        <f>724.56+3237.12+1576.04+42.08</f>
        <v>5579.799999999999</v>
      </c>
    </row>
    <row r="48" spans="1:7" ht="16.5" hidden="1">
      <c r="A48" s="37" t="s">
        <v>61</v>
      </c>
      <c r="B48" s="37"/>
      <c r="C48" s="37"/>
      <c r="D48" s="37"/>
      <c r="E48" s="37"/>
      <c r="F48" s="37"/>
      <c r="G48" s="30"/>
    </row>
    <row r="49" spans="1:7" ht="16.5" hidden="1">
      <c r="A49" s="37" t="s">
        <v>62</v>
      </c>
      <c r="B49" s="37"/>
      <c r="C49" s="37"/>
      <c r="D49" s="37"/>
      <c r="E49" s="37"/>
      <c r="F49" s="37"/>
      <c r="G49" s="30"/>
    </row>
    <row r="50" spans="1:7" ht="16.5" hidden="1">
      <c r="A50" s="37" t="s">
        <v>205</v>
      </c>
      <c r="B50" s="37"/>
      <c r="C50" s="37"/>
      <c r="D50" s="37"/>
      <c r="E50" s="37"/>
      <c r="F50" s="37"/>
      <c r="G50" s="30"/>
    </row>
    <row r="51" spans="1:7" ht="17.25" hidden="1">
      <c r="A51" s="37" t="s">
        <v>64</v>
      </c>
      <c r="B51" s="37"/>
      <c r="C51" s="37"/>
      <c r="D51" s="37"/>
      <c r="E51" s="37"/>
      <c r="F51" s="37"/>
      <c r="G51" s="30"/>
    </row>
    <row r="52" spans="1:7" ht="17.25">
      <c r="A52" s="37" t="s">
        <v>65</v>
      </c>
      <c r="B52" s="37"/>
      <c r="C52" s="37"/>
      <c r="D52" s="37"/>
      <c r="E52" s="37"/>
      <c r="F52" s="37"/>
      <c r="G52" s="30">
        <v>51684.48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8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64758.75</v>
      </c>
    </row>
    <row r="56" spans="1:7" ht="17.25" customHeight="1">
      <c r="A56" s="38" t="s">
        <v>69</v>
      </c>
      <c r="B56" s="38"/>
      <c r="C56" s="38"/>
      <c r="D56" s="38"/>
      <c r="E56" s="38"/>
      <c r="F56" s="38"/>
      <c r="G56" s="34">
        <f>G37+G55</f>
        <v>373144.7966840829</v>
      </c>
    </row>
    <row r="57" spans="1:7" ht="15.75">
      <c r="A57" s="29" t="s">
        <v>70</v>
      </c>
      <c r="B57" s="29"/>
      <c r="C57" s="29"/>
      <c r="D57" s="29"/>
      <c r="E57" s="29"/>
      <c r="F57" s="29"/>
      <c r="G57" s="30">
        <v>0</v>
      </c>
    </row>
    <row r="58" spans="1:7" ht="16.5" customHeight="1">
      <c r="A58" s="40" t="s">
        <v>147</v>
      </c>
      <c r="B58" s="40"/>
      <c r="C58" s="40"/>
      <c r="D58" s="40"/>
      <c r="E58" s="40"/>
      <c r="F58" s="40"/>
      <c r="G58" s="39">
        <f>B3*B4*4+B3*B5*2+B3*B6*5+B3*B7*1+G59</f>
        <v>404703.156</v>
      </c>
    </row>
    <row r="59" spans="1:7" ht="16.5">
      <c r="A59" s="41" t="s">
        <v>144</v>
      </c>
      <c r="B59" s="41"/>
      <c r="C59" s="41"/>
      <c r="D59" s="41"/>
      <c r="E59" s="41"/>
      <c r="F59" s="41"/>
      <c r="G59" s="34">
        <v>0</v>
      </c>
    </row>
    <row r="60" spans="1:7" ht="17.25" customHeight="1">
      <c r="A60" s="42" t="s">
        <v>73</v>
      </c>
      <c r="B60" s="42"/>
      <c r="C60" s="42"/>
      <c r="D60" s="42"/>
      <c r="E60" s="42"/>
      <c r="F60" s="42"/>
      <c r="G60" s="43">
        <v>82133.1</v>
      </c>
    </row>
    <row r="61" spans="1:7" ht="54.75" customHeight="1">
      <c r="A61" s="44" t="s">
        <v>110</v>
      </c>
      <c r="B61" s="44"/>
      <c r="C61" s="44"/>
      <c r="D61" s="44"/>
      <c r="E61" s="44"/>
      <c r="F61" s="44"/>
      <c r="G61" s="62">
        <f>G56-G58-G57+G60</f>
        <v>50574.74068408288</v>
      </c>
    </row>
    <row r="64" ht="15.75">
      <c r="A64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5131944444444444" right="0" top="0.59375" bottom="0" header="0.5118055555555555" footer="0.5118055555555555"/>
  <pageSetup horizontalDpi="300" verticalDpi="300" orientation="portrait" paperSize="9" scale="95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11"/>
  </sheetPr>
  <dimension ref="A1:G66"/>
  <sheetViews>
    <sheetView zoomScale="75" zoomScaleNormal="75" workbookViewId="0" topLeftCell="A1">
      <selection activeCell="G58" sqref="G58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2812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5.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76</v>
      </c>
      <c r="B2" s="7" t="s">
        <v>206</v>
      </c>
      <c r="C2" s="7"/>
      <c r="D2" s="7"/>
      <c r="E2" s="7"/>
      <c r="F2" s="8" t="s">
        <v>3</v>
      </c>
      <c r="G2" s="9">
        <v>10</v>
      </c>
    </row>
    <row r="3" spans="1:7" ht="18.75">
      <c r="A3" s="6" t="s">
        <v>78</v>
      </c>
      <c r="B3" s="10">
        <v>6945.9</v>
      </c>
      <c r="F3" s="8" t="s">
        <v>5</v>
      </c>
      <c r="G3" s="11">
        <v>3</v>
      </c>
    </row>
    <row r="4" spans="1:7" ht="18.75">
      <c r="A4" s="12" t="s">
        <v>79</v>
      </c>
      <c r="B4" s="46">
        <v>14.53</v>
      </c>
      <c r="C4" s="1" t="s">
        <v>196</v>
      </c>
      <c r="F4" s="8" t="s">
        <v>8</v>
      </c>
      <c r="G4" s="9">
        <v>1993</v>
      </c>
    </row>
    <row r="5" spans="1:7" ht="18.75">
      <c r="A5" s="12" t="s">
        <v>79</v>
      </c>
      <c r="B5" s="46">
        <v>14.68</v>
      </c>
      <c r="C5" s="1" t="s">
        <v>197</v>
      </c>
      <c r="F5" s="8"/>
      <c r="G5" s="9"/>
    </row>
    <row r="6" spans="1:7" ht="18.75">
      <c r="A6" s="12" t="s">
        <v>79</v>
      </c>
      <c r="B6" s="46">
        <v>14.73</v>
      </c>
      <c r="C6" s="1" t="s">
        <v>81</v>
      </c>
      <c r="F6" s="8"/>
      <c r="G6" s="9"/>
    </row>
    <row r="7" spans="1:3" ht="18.75">
      <c r="A7" s="12" t="s">
        <v>79</v>
      </c>
      <c r="B7" s="46">
        <v>15.28</v>
      </c>
      <c r="C7" s="1" t="s">
        <v>198</v>
      </c>
    </row>
    <row r="8" spans="1:7" ht="18.75" hidden="1">
      <c r="A8" s="15" t="s">
        <v>12</v>
      </c>
      <c r="B8" s="16">
        <v>1105.6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3</v>
      </c>
      <c r="C9" s="17" t="s">
        <v>136</v>
      </c>
      <c r="D9" s="17">
        <v>3</v>
      </c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936</v>
      </c>
      <c r="C11" s="18">
        <v>1733</v>
      </c>
      <c r="D11" s="18">
        <v>936</v>
      </c>
      <c r="E11" s="18">
        <v>1733</v>
      </c>
      <c r="F11" s="17"/>
      <c r="G11" s="17"/>
    </row>
    <row r="12" spans="1:7" ht="18.75" hidden="1">
      <c r="A12" s="15" t="s">
        <v>19</v>
      </c>
      <c r="B12" s="21">
        <v>0</v>
      </c>
      <c r="C12" s="17" t="s">
        <v>137</v>
      </c>
      <c r="D12" s="17"/>
      <c r="E12" s="17"/>
      <c r="F12" s="17"/>
      <c r="G12" s="17"/>
    </row>
    <row r="13" spans="1:7" ht="18.75" hidden="1">
      <c r="A13" s="15" t="s">
        <v>21</v>
      </c>
      <c r="B13" s="21">
        <v>1010.3</v>
      </c>
      <c r="C13" s="21">
        <v>694.7</v>
      </c>
      <c r="D13" s="21">
        <f>B13+C13</f>
        <v>1705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120</v>
      </c>
      <c r="C15" s="25">
        <v>120</v>
      </c>
      <c r="D15" s="25">
        <v>0</v>
      </c>
      <c r="E15" s="26">
        <f>D15+C15+B15</f>
        <v>240</v>
      </c>
      <c r="F15" s="18">
        <v>0</v>
      </c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6">
        <f>B8*8.689*12</f>
        <v>115278.70079999999</v>
      </c>
    </row>
    <row r="18" spans="1:7" ht="15.75">
      <c r="A18" s="29" t="s">
        <v>31</v>
      </c>
      <c r="B18" s="29"/>
      <c r="C18" s="29"/>
      <c r="D18" s="29"/>
      <c r="E18" s="29"/>
      <c r="F18" s="29"/>
      <c r="G18" s="36">
        <f>B9*19.03*12</f>
        <v>685.08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6">
        <f>B12*0.4523*12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0">
        <f>(B11*12.84/100*189)+(C11*9.63/100*113)+(D11*32.11/100*71)+(E11*2.41/100*12)</f>
        <v>63413.01149999999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48948.43537547019</v>
      </c>
    </row>
    <row r="22" spans="1:7" ht="15.75">
      <c r="A22" s="29" t="s">
        <v>35</v>
      </c>
      <c r="B22" s="29"/>
      <c r="C22" s="29"/>
      <c r="D22" s="29"/>
      <c r="E22" s="29"/>
      <c r="F22" s="29"/>
      <c r="G22" s="36">
        <f>D13*0.135*6</f>
        <v>1381.0500000000002</v>
      </c>
    </row>
    <row r="23" spans="1:7" ht="15.75">
      <c r="A23" s="29" t="s">
        <v>36</v>
      </c>
      <c r="B23" s="29"/>
      <c r="C23" s="29"/>
      <c r="D23" s="29"/>
      <c r="E23" s="29"/>
      <c r="F23" s="29"/>
      <c r="G23" s="36">
        <v>0</v>
      </c>
    </row>
    <row r="24" spans="1:7" ht="15.75">
      <c r="A24" s="29" t="s">
        <v>37</v>
      </c>
      <c r="B24" s="29"/>
      <c r="C24" s="29"/>
      <c r="D24" s="29"/>
      <c r="E24" s="29"/>
      <c r="F24" s="29"/>
      <c r="G24" s="36">
        <f>B3*0.885*12</f>
        <v>73765.45799999998</v>
      </c>
    </row>
    <row r="25" spans="1:7" ht="15.75">
      <c r="A25" s="29" t="s">
        <v>87</v>
      </c>
      <c r="B25" s="29"/>
      <c r="C25" s="29"/>
      <c r="D25" s="29"/>
      <c r="E25" s="29"/>
      <c r="F25" s="29"/>
      <c r="G25" s="36">
        <f>B3*2.648*4+B3*2.245*8</f>
        <v>198319.3368</v>
      </c>
    </row>
    <row r="26" spans="1:7" ht="15.75">
      <c r="A26" s="29" t="s">
        <v>39</v>
      </c>
      <c r="B26" s="29"/>
      <c r="C26" s="29"/>
      <c r="D26" s="29"/>
      <c r="E26" s="29"/>
      <c r="F26" s="29"/>
      <c r="G26" s="36">
        <f>2201*3</f>
        <v>6603</v>
      </c>
    </row>
    <row r="27" spans="1:7" ht="15.75">
      <c r="A27" s="29" t="s">
        <v>40</v>
      </c>
      <c r="B27" s="29"/>
      <c r="C27" s="29"/>
      <c r="D27" s="29"/>
      <c r="E27" s="29"/>
      <c r="F27" s="29"/>
      <c r="G27" s="36">
        <f>1209*3</f>
        <v>3627</v>
      </c>
    </row>
    <row r="28" spans="1:7" ht="15.75">
      <c r="A28" s="29" t="s">
        <v>41</v>
      </c>
      <c r="B28" s="29"/>
      <c r="C28" s="29"/>
      <c r="D28" s="29"/>
      <c r="E28" s="29"/>
      <c r="F28" s="29"/>
      <c r="G28" s="36">
        <v>12004.64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6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6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6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6">
        <f>B3*1.81*6+B3*1.86*6</f>
        <v>152948.718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6">
        <f>(F15*4*8.57)+(B15*2*3.14)+(C15*1*3.14)+(D15*1*3.14)</f>
        <v>1130.4</v>
      </c>
    </row>
    <row r="34" spans="1:7" ht="15.75">
      <c r="A34" s="29" t="s">
        <v>47</v>
      </c>
      <c r="B34" s="29"/>
      <c r="C34" s="29"/>
      <c r="D34" s="29"/>
      <c r="E34" s="29"/>
      <c r="F34" s="29"/>
      <c r="G34" s="36">
        <f>B3*0.65*12</f>
        <v>54178.020000000004</v>
      </c>
    </row>
    <row r="35" spans="1:7" ht="15.75">
      <c r="A35" s="29" t="s">
        <v>48</v>
      </c>
      <c r="B35" s="29"/>
      <c r="C35" s="29"/>
      <c r="D35" s="29"/>
      <c r="E35" s="29"/>
      <c r="F35" s="29"/>
      <c r="G35" s="36">
        <f>B3*0.82*12</f>
        <v>68347.656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6">
        <f>B3*0.95*12</f>
        <v>79183.26000000001</v>
      </c>
    </row>
    <row r="37" spans="1:7" ht="15.75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879813.7664754702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5.75" hidden="1">
      <c r="A39" s="29" t="s">
        <v>52</v>
      </c>
      <c r="B39" s="29"/>
      <c r="C39" s="29"/>
      <c r="D39" s="29"/>
      <c r="E39" s="29"/>
      <c r="F39" s="29"/>
      <c r="G39" s="36">
        <f>B3*3.47*12</f>
        <v>289227.276</v>
      </c>
    </row>
    <row r="40" spans="1:7" ht="15.75">
      <c r="A40" s="29" t="s">
        <v>53</v>
      </c>
      <c r="B40" s="29"/>
      <c r="C40" s="29"/>
      <c r="D40" s="29"/>
      <c r="E40" s="29"/>
      <c r="F40" s="29"/>
      <c r="G40" s="36"/>
    </row>
    <row r="41" spans="1:7" ht="17.25">
      <c r="A41" s="37" t="s">
        <v>54</v>
      </c>
      <c r="B41" s="37"/>
      <c r="C41" s="37"/>
      <c r="D41" s="37"/>
      <c r="E41" s="37"/>
      <c r="F41" s="37"/>
      <c r="G41" s="36">
        <f>11483.76+15079.13</f>
        <v>26562.89</v>
      </c>
    </row>
    <row r="42" spans="1:7" ht="17.25">
      <c r="A42" s="37" t="s">
        <v>55</v>
      </c>
      <c r="B42" s="37"/>
      <c r="C42" s="37"/>
      <c r="D42" s="37"/>
      <c r="E42" s="37"/>
      <c r="F42" s="37"/>
      <c r="G42" s="36"/>
    </row>
    <row r="43" spans="1:7" ht="17.25">
      <c r="A43" s="37" t="s">
        <v>56</v>
      </c>
      <c r="B43" s="37"/>
      <c r="C43" s="37"/>
      <c r="D43" s="37"/>
      <c r="E43" s="37"/>
      <c r="F43" s="37"/>
      <c r="G43" s="36"/>
    </row>
    <row r="44" spans="1:7" ht="17.25">
      <c r="A44" s="37" t="s">
        <v>57</v>
      </c>
      <c r="B44" s="37"/>
      <c r="C44" s="37"/>
      <c r="D44" s="37"/>
      <c r="E44" s="37"/>
      <c r="F44" s="37"/>
      <c r="G44" s="36">
        <v>10158.12</v>
      </c>
    </row>
    <row r="45" spans="1:7" ht="17.25" hidden="1">
      <c r="A45" s="37" t="s">
        <v>58</v>
      </c>
      <c r="B45" s="37"/>
      <c r="C45" s="37"/>
      <c r="D45" s="37"/>
      <c r="E45" s="37"/>
      <c r="F45" s="37"/>
      <c r="G45" s="36"/>
    </row>
    <row r="46" spans="1:7" ht="17.25" hidden="1">
      <c r="A46" s="37" t="s">
        <v>59</v>
      </c>
      <c r="B46" s="37"/>
      <c r="C46" s="37"/>
      <c r="D46" s="37"/>
      <c r="E46" s="37"/>
      <c r="F46" s="37"/>
      <c r="G46" s="36"/>
    </row>
    <row r="47" spans="1:7" ht="16.5">
      <c r="A47" s="37" t="s">
        <v>60</v>
      </c>
      <c r="B47" s="37"/>
      <c r="C47" s="37"/>
      <c r="D47" s="37"/>
      <c r="E47" s="37"/>
      <c r="F47" s="37"/>
      <c r="G47" s="36">
        <f>1491.18+42.08+42.08</f>
        <v>1575.34</v>
      </c>
    </row>
    <row r="48" spans="1:7" ht="16.5">
      <c r="A48" s="37" t="s">
        <v>61</v>
      </c>
      <c r="B48" s="37"/>
      <c r="C48" s="37"/>
      <c r="D48" s="37"/>
      <c r="E48" s="37"/>
      <c r="F48" s="37"/>
      <c r="G48" s="36">
        <f>1471.54+1374.76+3150.07</f>
        <v>5996.370000000001</v>
      </c>
    </row>
    <row r="49" spans="1:7" ht="16.5" hidden="1">
      <c r="A49" s="37" t="s">
        <v>62</v>
      </c>
      <c r="B49" s="37"/>
      <c r="C49" s="37"/>
      <c r="D49" s="37"/>
      <c r="E49" s="37"/>
      <c r="F49" s="37"/>
      <c r="G49" s="36"/>
    </row>
    <row r="50" spans="1:7" ht="16.5" hidden="1">
      <c r="A50" s="37" t="s">
        <v>63</v>
      </c>
      <c r="B50" s="37"/>
      <c r="C50" s="37"/>
      <c r="D50" s="37"/>
      <c r="E50" s="37"/>
      <c r="F50" s="37"/>
      <c r="G50" s="36"/>
    </row>
    <row r="51" spans="1:7" ht="16.5" hidden="1">
      <c r="A51" s="37" t="s">
        <v>64</v>
      </c>
      <c r="B51" s="37"/>
      <c r="C51" s="37"/>
      <c r="D51" s="37"/>
      <c r="E51" s="37"/>
      <c r="F51" s="37"/>
      <c r="G51" s="36"/>
    </row>
    <row r="52" spans="1:7" ht="17.25">
      <c r="A52" s="37" t="s">
        <v>65</v>
      </c>
      <c r="B52" s="37"/>
      <c r="C52" s="37"/>
      <c r="D52" s="37"/>
      <c r="E52" s="37"/>
      <c r="F52" s="37"/>
      <c r="G52" s="36">
        <v>66041.28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110334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990147.7664754702</v>
      </c>
    </row>
    <row r="57" spans="1:7" ht="15.75">
      <c r="A57" s="29" t="s">
        <v>70</v>
      </c>
      <c r="B57" s="29"/>
      <c r="C57" s="29"/>
      <c r="D57" s="29"/>
      <c r="E57" s="29"/>
      <c r="F57" s="29"/>
      <c r="G57" s="36">
        <v>0</v>
      </c>
    </row>
    <row r="58" spans="1:7" ht="16.5" customHeight="1">
      <c r="A58" s="40" t="s">
        <v>147</v>
      </c>
      <c r="B58" s="40"/>
      <c r="C58" s="40"/>
      <c r="D58" s="40"/>
      <c r="E58" s="40"/>
      <c r="F58" s="40"/>
      <c r="G58" s="39">
        <f>B3*B4*4+B3*B5*2+B3*B6*5+B3*B7*1+G59</f>
        <v>1240319.019</v>
      </c>
    </row>
    <row r="59" spans="1:7" ht="16.5">
      <c r="A59" s="41" t="s">
        <v>144</v>
      </c>
      <c r="B59" s="41"/>
      <c r="C59" s="41"/>
      <c r="D59" s="41"/>
      <c r="E59" s="41"/>
      <c r="F59" s="41"/>
      <c r="G59" s="36">
        <f>160*1*12+180*1*12+141.6*1*12+215.6*1*12+141.6*2*12+269*1*12</f>
        <v>14992.8</v>
      </c>
    </row>
    <row r="60" spans="1:7" ht="20.25" customHeight="1">
      <c r="A60" s="42" t="s">
        <v>73</v>
      </c>
      <c r="B60" s="42"/>
      <c r="C60" s="42"/>
      <c r="D60" s="42"/>
      <c r="E60" s="42"/>
      <c r="F60" s="42"/>
      <c r="G60" s="43">
        <v>39287.83</v>
      </c>
    </row>
    <row r="61" spans="1:7" ht="65.25" customHeight="1">
      <c r="A61" s="44" t="s">
        <v>110</v>
      </c>
      <c r="B61" s="44"/>
      <c r="C61" s="44"/>
      <c r="D61" s="44"/>
      <c r="E61" s="44"/>
      <c r="F61" s="44"/>
      <c r="G61" s="45">
        <f>G56-G58-G57+G60</f>
        <v>-210883.42252452992</v>
      </c>
    </row>
    <row r="64" spans="1:6" ht="15.75">
      <c r="A64" s="75"/>
      <c r="B64" s="75"/>
      <c r="C64" s="75"/>
      <c r="D64" s="75"/>
      <c r="E64" s="75"/>
      <c r="F64" s="78"/>
    </row>
    <row r="66" ht="15.75">
      <c r="A66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 scale="95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11"/>
  </sheetPr>
  <dimension ref="A1:G67"/>
  <sheetViews>
    <sheetView zoomScale="75" zoomScaleNormal="75" workbookViewId="0" topLeftCell="A4">
      <selection activeCell="G36" sqref="G36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7109375" style="1" customWidth="1"/>
    <col min="7" max="7" width="16.71093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3.2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207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3427.9</v>
      </c>
      <c r="F3" s="8" t="s">
        <v>5</v>
      </c>
      <c r="G3" s="11">
        <v>4</v>
      </c>
    </row>
    <row r="4" spans="1:7" ht="18.75">
      <c r="A4" s="12" t="s">
        <v>6</v>
      </c>
      <c r="B4" s="46">
        <v>11.39</v>
      </c>
      <c r="C4" s="1" t="s">
        <v>196</v>
      </c>
      <c r="F4" s="8" t="s">
        <v>8</v>
      </c>
      <c r="G4" s="9">
        <v>1971</v>
      </c>
    </row>
    <row r="5" spans="1:7" ht="18.75">
      <c r="A5" s="12" t="s">
        <v>6</v>
      </c>
      <c r="B5" s="46">
        <v>11.54</v>
      </c>
      <c r="C5" s="1" t="s">
        <v>197</v>
      </c>
      <c r="F5" s="8"/>
      <c r="G5" s="9"/>
    </row>
    <row r="6" spans="1:7" ht="18.75">
      <c r="A6" s="12" t="s">
        <v>6</v>
      </c>
      <c r="B6" s="46">
        <v>11.59</v>
      </c>
      <c r="C6" s="1" t="s">
        <v>81</v>
      </c>
      <c r="F6" s="8"/>
      <c r="G6" s="9"/>
    </row>
    <row r="7" spans="1:3" ht="18.75">
      <c r="A7" s="12" t="s">
        <v>6</v>
      </c>
      <c r="B7" s="46">
        <v>12.14</v>
      </c>
      <c r="C7" s="1" t="s">
        <v>198</v>
      </c>
    </row>
    <row r="8" spans="1:7" ht="18.75" hidden="1">
      <c r="A8" s="15" t="s">
        <v>12</v>
      </c>
      <c r="B8" s="16">
        <v>263.2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/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440</v>
      </c>
      <c r="C11" s="18">
        <v>4075</v>
      </c>
      <c r="D11" s="18">
        <v>440</v>
      </c>
      <c r="E11" s="18">
        <v>4075</v>
      </c>
      <c r="F11" s="17"/>
      <c r="G11" s="17"/>
    </row>
    <row r="12" spans="1:7" ht="18.75" hidden="1">
      <c r="A12" s="15" t="s">
        <v>19</v>
      </c>
      <c r="B12" s="21"/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671.1</v>
      </c>
      <c r="C13" s="21">
        <v>685.8</v>
      </c>
      <c r="D13" s="21">
        <f>B13+C13</f>
        <v>1356.9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70</v>
      </c>
      <c r="C15" s="25">
        <v>70</v>
      </c>
      <c r="D15" s="25"/>
      <c r="E15" s="26">
        <f>D15+C15+B15</f>
        <v>140</v>
      </c>
      <c r="F15" s="18"/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0">
        <f>B8*8.689*12</f>
        <v>27443.3376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0">
        <f>B9*35.705*12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0">
        <f>B12*0.3613*12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0">
        <f>(B11*12.84/100*189)+(C11*9.63/100*113)+(D11*32.11/100*71)+(E11*2.41/100*12)</f>
        <v>66231.1405</v>
      </c>
    </row>
    <row r="21" spans="1:7" ht="17.25" customHeight="1">
      <c r="A21" s="31" t="s">
        <v>34</v>
      </c>
      <c r="B21" s="31"/>
      <c r="C21" s="31"/>
      <c r="D21" s="31"/>
      <c r="E21" s="31"/>
      <c r="F21" s="31"/>
      <c r="G21" s="65">
        <f>(1014567.18*1.18+308700+213742)/244019.8*B3</f>
        <v>24156.744816035258</v>
      </c>
    </row>
    <row r="22" spans="1:7" ht="15.75">
      <c r="A22" s="29" t="s">
        <v>35</v>
      </c>
      <c r="B22" s="29"/>
      <c r="C22" s="29"/>
      <c r="D22" s="29"/>
      <c r="E22" s="29"/>
      <c r="F22" s="29"/>
      <c r="G22" s="30">
        <f>D13*0.135*6+671.1</f>
        <v>1770.1890000000003</v>
      </c>
    </row>
    <row r="23" spans="1:7" ht="15.75">
      <c r="A23" s="29" t="s">
        <v>36</v>
      </c>
      <c r="B23" s="29"/>
      <c r="C23" s="29"/>
      <c r="D23" s="29"/>
      <c r="E23" s="29"/>
      <c r="F23" s="29"/>
      <c r="G23" s="30">
        <f>114.94+4213.49+732.78+316.1+5287.34</f>
        <v>10664.65</v>
      </c>
    </row>
    <row r="24" spans="1:7" ht="15.75">
      <c r="A24" s="29" t="s">
        <v>37</v>
      </c>
      <c r="B24" s="29"/>
      <c r="C24" s="29"/>
      <c r="D24" s="29"/>
      <c r="E24" s="29"/>
      <c r="F24" s="29"/>
      <c r="G24" s="30">
        <f>B3*0.885*12</f>
        <v>36404.297999999995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0"/>
    </row>
    <row r="26" spans="1:7" ht="15.75" hidden="1">
      <c r="A26" s="29" t="s">
        <v>39</v>
      </c>
      <c r="B26" s="29"/>
      <c r="C26" s="29"/>
      <c r="D26" s="29"/>
      <c r="E26" s="29"/>
      <c r="F26" s="29"/>
      <c r="G26" s="30"/>
    </row>
    <row r="27" spans="1:7" ht="15.75" hidden="1">
      <c r="A27" s="29" t="s">
        <v>40</v>
      </c>
      <c r="B27" s="29"/>
      <c r="C27" s="29"/>
      <c r="D27" s="29"/>
      <c r="E27" s="29"/>
      <c r="F27" s="29"/>
      <c r="G27" s="30"/>
    </row>
    <row r="28" spans="1:7" ht="15.75">
      <c r="A28" s="29" t="s">
        <v>41</v>
      </c>
      <c r="B28" s="29"/>
      <c r="C28" s="29"/>
      <c r="D28" s="29"/>
      <c r="E28" s="29"/>
      <c r="F28" s="29"/>
      <c r="G28" s="30">
        <v>7511.08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/>
    </row>
    <row r="30" spans="1:7" ht="15.75" hidden="1">
      <c r="A30" s="29" t="s">
        <v>43</v>
      </c>
      <c r="B30" s="29"/>
      <c r="C30" s="29"/>
      <c r="D30" s="29"/>
      <c r="E30" s="29"/>
      <c r="F30" s="29"/>
      <c r="G30" s="30"/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/>
    </row>
    <row r="32" spans="1:7" ht="15.75">
      <c r="A32" s="29" t="s">
        <v>45</v>
      </c>
      <c r="B32" s="29"/>
      <c r="C32" s="29"/>
      <c r="D32" s="29"/>
      <c r="E32" s="29"/>
      <c r="F32" s="29"/>
      <c r="G32" s="30">
        <f>B3*1.81*6+B3*1.86*6</f>
        <v>75482.35800000001</v>
      </c>
    </row>
    <row r="33" spans="1:7" ht="17.2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659.4000000000001</v>
      </c>
    </row>
    <row r="34" spans="1:7" ht="15.75">
      <c r="A34" s="29" t="s">
        <v>47</v>
      </c>
      <c r="B34" s="29"/>
      <c r="C34" s="29"/>
      <c r="D34" s="29"/>
      <c r="E34" s="29"/>
      <c r="F34" s="29"/>
      <c r="G34" s="30">
        <f>B3*0.65*12</f>
        <v>26737.620000000003</v>
      </c>
    </row>
    <row r="35" spans="1:7" ht="15.75">
      <c r="A35" s="29" t="s">
        <v>48</v>
      </c>
      <c r="B35" s="29"/>
      <c r="C35" s="29"/>
      <c r="D35" s="29"/>
      <c r="E35" s="29"/>
      <c r="F35" s="29"/>
      <c r="G35" s="30">
        <f>B3*0.82*12</f>
        <v>33730.536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B3*0.95*12</f>
        <v>39078.06</v>
      </c>
    </row>
    <row r="37" spans="1:7" ht="15.75">
      <c r="A37" s="33" t="s">
        <v>50</v>
      </c>
      <c r="B37" s="33"/>
      <c r="C37" s="33"/>
      <c r="D37" s="33"/>
      <c r="E37" s="33"/>
      <c r="F37" s="33"/>
      <c r="G37" s="39">
        <f>SUM(G17:G36)</f>
        <v>349869.41391603526</v>
      </c>
    </row>
    <row r="38" spans="1:7" ht="17.2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5.75" hidden="1">
      <c r="A39" s="29" t="s">
        <v>52</v>
      </c>
      <c r="B39" s="29"/>
      <c r="C39" s="29"/>
      <c r="D39" s="29"/>
      <c r="E39" s="29"/>
      <c r="F39" s="29"/>
      <c r="G39" s="36"/>
    </row>
    <row r="40" spans="1:7" ht="16.5">
      <c r="A40" s="29" t="s">
        <v>53</v>
      </c>
      <c r="B40" s="29"/>
      <c r="C40" s="29"/>
      <c r="D40" s="29"/>
      <c r="E40" s="29"/>
      <c r="F40" s="29"/>
      <c r="G40" s="36"/>
    </row>
    <row r="41" spans="1:7" ht="16.5">
      <c r="A41" s="37" t="s">
        <v>54</v>
      </c>
      <c r="B41" s="37"/>
      <c r="C41" s="37"/>
      <c r="D41" s="37"/>
      <c r="E41" s="37"/>
      <c r="F41" s="37"/>
      <c r="G41" s="36"/>
    </row>
    <row r="42" spans="1:7" ht="16.5">
      <c r="A42" s="37" t="s">
        <v>55</v>
      </c>
      <c r="B42" s="37"/>
      <c r="C42" s="37"/>
      <c r="D42" s="37"/>
      <c r="E42" s="37"/>
      <c r="F42" s="37"/>
      <c r="G42" s="36">
        <v>548.55</v>
      </c>
    </row>
    <row r="43" spans="1:7" ht="16.5">
      <c r="A43" s="37" t="s">
        <v>56</v>
      </c>
      <c r="B43" s="37"/>
      <c r="C43" s="37"/>
      <c r="D43" s="37"/>
      <c r="E43" s="37"/>
      <c r="F43" s="37"/>
      <c r="G43" s="36">
        <v>548.55</v>
      </c>
    </row>
    <row r="44" spans="1:7" ht="16.5" hidden="1">
      <c r="A44" s="37" t="s">
        <v>57</v>
      </c>
      <c r="B44" s="37"/>
      <c r="C44" s="37"/>
      <c r="D44" s="37"/>
      <c r="E44" s="37"/>
      <c r="F44" s="37"/>
      <c r="G44" s="36"/>
    </row>
    <row r="45" spans="1:7" ht="16.5" hidden="1">
      <c r="A45" s="37" t="s">
        <v>58</v>
      </c>
      <c r="B45" s="37"/>
      <c r="C45" s="37"/>
      <c r="D45" s="37"/>
      <c r="E45" s="37"/>
      <c r="F45" s="37"/>
      <c r="G45" s="36"/>
    </row>
    <row r="46" spans="1:7" ht="16.5">
      <c r="A46" s="37" t="s">
        <v>59</v>
      </c>
      <c r="B46" s="37"/>
      <c r="C46" s="37"/>
      <c r="D46" s="37"/>
      <c r="E46" s="37"/>
      <c r="F46" s="37"/>
      <c r="G46" s="36">
        <f>16.89+1741.99</f>
        <v>1758.88</v>
      </c>
    </row>
    <row r="47" spans="1:7" ht="16.5">
      <c r="A47" s="37" t="s">
        <v>60</v>
      </c>
      <c r="B47" s="37"/>
      <c r="C47" s="37"/>
      <c r="D47" s="37"/>
      <c r="E47" s="37"/>
      <c r="F47" s="37"/>
      <c r="G47" s="30">
        <f>42.08+42.07</f>
        <v>84.15</v>
      </c>
    </row>
    <row r="48" spans="1:7" ht="16.5">
      <c r="A48" s="37" t="s">
        <v>61</v>
      </c>
      <c r="B48" s="37"/>
      <c r="C48" s="37"/>
      <c r="D48" s="37"/>
      <c r="E48" s="37"/>
      <c r="F48" s="37"/>
      <c r="G48" s="30">
        <f>1608.47+2263.82+2520.06+3360.07</f>
        <v>9752.42</v>
      </c>
    </row>
    <row r="49" spans="1:7" ht="16.5">
      <c r="A49" s="37" t="s">
        <v>62</v>
      </c>
      <c r="B49" s="37"/>
      <c r="C49" s="37"/>
      <c r="D49" s="37"/>
      <c r="E49" s="37"/>
      <c r="F49" s="37"/>
      <c r="G49" s="30">
        <f>2889.38+736.88</f>
        <v>3626.26</v>
      </c>
    </row>
    <row r="50" spans="1:7" ht="16.5" hidden="1">
      <c r="A50" s="37" t="s">
        <v>176</v>
      </c>
      <c r="B50" s="37"/>
      <c r="C50" s="37"/>
      <c r="D50" s="37"/>
      <c r="E50" s="37"/>
      <c r="F50" s="37"/>
      <c r="G50" s="30"/>
    </row>
    <row r="51" spans="1:7" ht="16.5" hidden="1">
      <c r="A51" s="37" t="s">
        <v>64</v>
      </c>
      <c r="B51" s="37"/>
      <c r="C51" s="37"/>
      <c r="D51" s="37"/>
      <c r="E51" s="37"/>
      <c r="F51" s="37"/>
      <c r="G51" s="30"/>
    </row>
    <row r="52" spans="1:7" ht="16.5">
      <c r="A52" s="37" t="s">
        <v>65</v>
      </c>
      <c r="B52" s="37"/>
      <c r="C52" s="37"/>
      <c r="D52" s="37"/>
      <c r="E52" s="37"/>
      <c r="F52" s="37"/>
      <c r="G52" s="30">
        <v>36370.56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8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52689.369999999995</v>
      </c>
    </row>
    <row r="56" spans="1:7" ht="17.25" customHeight="1">
      <c r="A56" s="38" t="s">
        <v>69</v>
      </c>
      <c r="B56" s="38"/>
      <c r="C56" s="38"/>
      <c r="D56" s="38"/>
      <c r="E56" s="38"/>
      <c r="F56" s="38"/>
      <c r="G56" s="39">
        <f>G37+G55</f>
        <v>402558.78391603526</v>
      </c>
    </row>
    <row r="57" spans="1:7" ht="15.75">
      <c r="A57" s="29" t="s">
        <v>70</v>
      </c>
      <c r="B57" s="29"/>
      <c r="C57" s="29"/>
      <c r="D57" s="29"/>
      <c r="E57" s="29"/>
      <c r="F57" s="29"/>
      <c r="G57" s="36">
        <v>0</v>
      </c>
    </row>
    <row r="58" spans="1:7" ht="16.5" customHeight="1">
      <c r="A58" s="40" t="s">
        <v>147</v>
      </c>
      <c r="B58" s="40"/>
      <c r="C58" s="40"/>
      <c r="D58" s="40"/>
      <c r="E58" s="40"/>
      <c r="F58" s="40"/>
      <c r="G58" s="39">
        <f>B3*B4*4+B3*B5*2+B3*B6*5+B3*B7*1+G59</f>
        <v>484986.96700000006</v>
      </c>
    </row>
    <row r="59" spans="1:7" ht="16.5">
      <c r="A59" s="41" t="s">
        <v>144</v>
      </c>
      <c r="B59" s="41"/>
      <c r="C59" s="41"/>
      <c r="D59" s="41"/>
      <c r="E59" s="41"/>
      <c r="F59" s="41"/>
      <c r="G59" s="36">
        <f>160*1*12+141.6*1*12+215.6*1*12+269*1*12</f>
        <v>9434.4</v>
      </c>
    </row>
    <row r="60" spans="1:7" ht="17.25" customHeight="1">
      <c r="A60" s="42" t="s">
        <v>73</v>
      </c>
      <c r="B60" s="42"/>
      <c r="C60" s="42"/>
      <c r="D60" s="42"/>
      <c r="E60" s="42"/>
      <c r="F60" s="42"/>
      <c r="G60" s="43">
        <v>14132.99</v>
      </c>
    </row>
    <row r="61" spans="1:7" ht="66.75" customHeight="1">
      <c r="A61" s="44" t="s">
        <v>110</v>
      </c>
      <c r="B61" s="44"/>
      <c r="C61" s="44"/>
      <c r="D61" s="44"/>
      <c r="E61" s="44"/>
      <c r="F61" s="44"/>
      <c r="G61" s="62">
        <f>G56-G58+G60-G57</f>
        <v>-68295.1930839648</v>
      </c>
    </row>
    <row r="67" ht="15.75">
      <c r="A67" s="79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5638888888888889" right="0" top="0.4979166666666667" bottom="0" header="0.5118055555555555" footer="0.5118055555555555"/>
  <pageSetup horizontalDpi="300" verticalDpi="300" orientation="portrait" paperSize="9" scale="90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9"/>
  </sheetPr>
  <dimension ref="A1:G66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2812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48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208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3667.5</v>
      </c>
      <c r="F3" s="8" t="s">
        <v>5</v>
      </c>
      <c r="G3" s="11">
        <v>4</v>
      </c>
    </row>
    <row r="4" spans="1:7" ht="18.75">
      <c r="A4" s="12" t="s">
        <v>6</v>
      </c>
      <c r="B4" s="46">
        <v>11.39</v>
      </c>
      <c r="C4" s="1" t="s">
        <v>196</v>
      </c>
      <c r="F4" s="8" t="s">
        <v>8</v>
      </c>
      <c r="G4" s="9">
        <v>1971</v>
      </c>
    </row>
    <row r="5" spans="1:7" ht="18.75">
      <c r="A5" s="12" t="s">
        <v>6</v>
      </c>
      <c r="B5" s="46">
        <v>11.54</v>
      </c>
      <c r="C5" s="1" t="s">
        <v>197</v>
      </c>
      <c r="F5" s="8"/>
      <c r="G5" s="9"/>
    </row>
    <row r="6" spans="1:7" ht="18.75">
      <c r="A6" s="12" t="s">
        <v>6</v>
      </c>
      <c r="B6" s="46">
        <v>11.59</v>
      </c>
      <c r="C6" s="1" t="s">
        <v>81</v>
      </c>
      <c r="F6" s="8"/>
      <c r="G6" s="9"/>
    </row>
    <row r="7" spans="1:3" ht="18.75">
      <c r="A7" s="12" t="s">
        <v>6</v>
      </c>
      <c r="B7" s="46">
        <v>12.14</v>
      </c>
      <c r="C7" s="1" t="s">
        <v>198</v>
      </c>
    </row>
    <row r="8" spans="1:7" ht="18.75" hidden="1">
      <c r="A8" s="15" t="s">
        <v>12</v>
      </c>
      <c r="B8" s="16">
        <v>368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990</v>
      </c>
      <c r="C11" s="18">
        <v>880</v>
      </c>
      <c r="D11" s="18">
        <v>990</v>
      </c>
      <c r="E11" s="18">
        <v>880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369.1</v>
      </c>
      <c r="C13" s="21">
        <v>639.4</v>
      </c>
      <c r="D13" s="21">
        <f>B13+C13</f>
        <v>1008.5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66</v>
      </c>
      <c r="C15" s="25">
        <v>66</v>
      </c>
      <c r="D15" s="25"/>
      <c r="E15" s="26">
        <f>D15+C15+B15</f>
        <v>132</v>
      </c>
      <c r="F15" s="18"/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6">
        <f>B8*8.689*12</f>
        <v>38370.624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6">
        <f>B9*19.029*12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6">
        <f>B12*0.4522*12</f>
        <v>0</v>
      </c>
    </row>
    <row r="20" spans="1:7" ht="15.75">
      <c r="A20" s="29" t="s">
        <v>33</v>
      </c>
      <c r="B20" s="29"/>
      <c r="C20" s="29"/>
      <c r="D20" s="29"/>
      <c r="E20" s="29"/>
      <c r="F20" s="29"/>
      <c r="G20" s="36">
        <f>(B11*12.84/100*189)+(C11*9.63/100*113)+(D11*32.11/100*71)+(E11*2.41/100*12)</f>
        <v>56425.61099999999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65">
        <f>(1014567.18*1.18+308700+213742)/244019.8*B3</f>
        <v>25845.229327812744</v>
      </c>
    </row>
    <row r="22" spans="1:7" ht="15.75">
      <c r="A22" s="29" t="s">
        <v>35</v>
      </c>
      <c r="B22" s="29"/>
      <c r="C22" s="29"/>
      <c r="D22" s="29"/>
      <c r="E22" s="29"/>
      <c r="F22" s="29"/>
      <c r="G22" s="36">
        <f>D13*0.135*6</f>
        <v>816.885</v>
      </c>
    </row>
    <row r="23" spans="1:7" ht="15.75">
      <c r="A23" s="29" t="s">
        <v>36</v>
      </c>
      <c r="B23" s="29"/>
      <c r="C23" s="29"/>
      <c r="D23" s="29"/>
      <c r="E23" s="29"/>
      <c r="F23" s="29"/>
      <c r="G23" s="36">
        <f>114.94+4030.29+732.78+316.1+5287.34</f>
        <v>10481.45</v>
      </c>
    </row>
    <row r="24" spans="1:7" ht="15.75">
      <c r="A24" s="29" t="s">
        <v>37</v>
      </c>
      <c r="B24" s="29"/>
      <c r="C24" s="29"/>
      <c r="D24" s="29"/>
      <c r="E24" s="29"/>
      <c r="F24" s="29"/>
      <c r="G24" s="36">
        <f>B3*0.885*12</f>
        <v>38948.850000000006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6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6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6">
        <v>0</v>
      </c>
    </row>
    <row r="28" spans="1:7" ht="15.75">
      <c r="A28" s="29" t="s">
        <v>41</v>
      </c>
      <c r="B28" s="29"/>
      <c r="C28" s="29"/>
      <c r="D28" s="29"/>
      <c r="E28" s="29"/>
      <c r="F28" s="29"/>
      <c r="G28" s="36">
        <v>7511.08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6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6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6">
        <v>0</v>
      </c>
    </row>
    <row r="32" spans="1:7" ht="15.75">
      <c r="A32" s="29" t="s">
        <v>45</v>
      </c>
      <c r="B32" s="29"/>
      <c r="C32" s="29"/>
      <c r="D32" s="29"/>
      <c r="E32" s="29"/>
      <c r="F32" s="29"/>
      <c r="G32" s="36">
        <f>B3*1.81*6+B3*1.86*6</f>
        <v>80758.35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6">
        <f>(F15*4*8.57)+(B15*2*3.14)+(C15*1*3.14)+(D15*1*3.14)</f>
        <v>621.72</v>
      </c>
    </row>
    <row r="34" spans="1:7" ht="15.75">
      <c r="A34" s="29" t="s">
        <v>47</v>
      </c>
      <c r="B34" s="29"/>
      <c r="C34" s="29"/>
      <c r="D34" s="29"/>
      <c r="E34" s="29"/>
      <c r="F34" s="29"/>
      <c r="G34" s="36">
        <f>B3*0.65*12</f>
        <v>28606.5</v>
      </c>
    </row>
    <row r="35" spans="1:7" ht="15.75">
      <c r="A35" s="29" t="s">
        <v>48</v>
      </c>
      <c r="B35" s="29"/>
      <c r="C35" s="29"/>
      <c r="D35" s="29"/>
      <c r="E35" s="29"/>
      <c r="F35" s="29"/>
      <c r="G35" s="36">
        <f>B3*0.82*12</f>
        <v>36088.200000000004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6">
        <f>B3*0.95*12</f>
        <v>41809.50000000001</v>
      </c>
    </row>
    <row r="37" spans="1:7" ht="15.75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366283.99932781275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5.75" hidden="1">
      <c r="A39" s="29" t="s">
        <v>52</v>
      </c>
      <c r="B39" s="29"/>
      <c r="C39" s="29"/>
      <c r="D39" s="29"/>
      <c r="E39" s="29"/>
      <c r="F39" s="29"/>
      <c r="G39" s="36">
        <f>B3*2.96*12</f>
        <v>130269.59999999999</v>
      </c>
    </row>
    <row r="40" spans="1:7" ht="15.75">
      <c r="A40" s="29" t="s">
        <v>53</v>
      </c>
      <c r="B40" s="29"/>
      <c r="C40" s="29"/>
      <c r="D40" s="29"/>
      <c r="E40" s="29"/>
      <c r="F40" s="29"/>
      <c r="G40" s="36"/>
    </row>
    <row r="41" spans="1:7" ht="17.25">
      <c r="A41" s="37" t="s">
        <v>54</v>
      </c>
      <c r="B41" s="37"/>
      <c r="C41" s="37"/>
      <c r="D41" s="37"/>
      <c r="E41" s="37"/>
      <c r="F41" s="37"/>
      <c r="G41" s="36"/>
    </row>
    <row r="42" spans="1:7" ht="16.5">
      <c r="A42" s="37" t="s">
        <v>55</v>
      </c>
      <c r="B42" s="37"/>
      <c r="C42" s="37"/>
      <c r="D42" s="37"/>
      <c r="E42" s="37"/>
      <c r="F42" s="37"/>
      <c r="G42" s="36"/>
    </row>
    <row r="43" spans="1:7" ht="16.5">
      <c r="A43" s="37" t="s">
        <v>56</v>
      </c>
      <c r="B43" s="37"/>
      <c r="C43" s="37"/>
      <c r="D43" s="37"/>
      <c r="E43" s="37"/>
      <c r="F43" s="37"/>
      <c r="G43" s="36"/>
    </row>
    <row r="44" spans="1:7" ht="16.5" hidden="1">
      <c r="A44" s="37" t="s">
        <v>57</v>
      </c>
      <c r="B44" s="37"/>
      <c r="C44" s="37"/>
      <c r="D44" s="37"/>
      <c r="E44" s="37"/>
      <c r="F44" s="37"/>
      <c r="G44" s="36"/>
    </row>
    <row r="45" spans="1:7" ht="16.5" hidden="1">
      <c r="A45" s="37" t="s">
        <v>58</v>
      </c>
      <c r="B45" s="37"/>
      <c r="C45" s="37"/>
      <c r="D45" s="37"/>
      <c r="E45" s="37"/>
      <c r="F45" s="37"/>
      <c r="G45" s="36"/>
    </row>
    <row r="46" spans="1:7" ht="16.5">
      <c r="A46" s="37" t="s">
        <v>59</v>
      </c>
      <c r="B46" s="37"/>
      <c r="C46" s="37"/>
      <c r="D46" s="37"/>
      <c r="E46" s="37"/>
      <c r="F46" s="37"/>
      <c r="G46" s="36">
        <v>955.99</v>
      </c>
    </row>
    <row r="47" spans="1:7" ht="16.5">
      <c r="A47" s="37" t="s">
        <v>60</v>
      </c>
      <c r="B47" s="37"/>
      <c r="C47" s="37"/>
      <c r="D47" s="37"/>
      <c r="E47" s="37"/>
      <c r="F47" s="37"/>
      <c r="G47" s="36">
        <f>724.56+387.06</f>
        <v>1111.62</v>
      </c>
    </row>
    <row r="48" spans="1:7" ht="17.25" hidden="1">
      <c r="A48" s="37" t="s">
        <v>61</v>
      </c>
      <c r="B48" s="37"/>
      <c r="C48" s="37"/>
      <c r="D48" s="37"/>
      <c r="E48" s="37"/>
      <c r="F48" s="37"/>
      <c r="G48" s="36"/>
    </row>
    <row r="49" spans="1:7" ht="17.25">
      <c r="A49" s="37" t="s">
        <v>62</v>
      </c>
      <c r="B49" s="37"/>
      <c r="C49" s="37"/>
      <c r="D49" s="37"/>
      <c r="E49" s="37"/>
      <c r="F49" s="37"/>
      <c r="G49" s="36">
        <v>8770.49</v>
      </c>
    </row>
    <row r="50" spans="1:7" ht="17.25" hidden="1">
      <c r="A50" s="37" t="s">
        <v>63</v>
      </c>
      <c r="B50" s="37"/>
      <c r="C50" s="37"/>
      <c r="D50" s="37"/>
      <c r="E50" s="37"/>
      <c r="F50" s="37"/>
      <c r="G50" s="36"/>
    </row>
    <row r="51" spans="1:7" ht="17.25" hidden="1">
      <c r="A51" s="37" t="s">
        <v>64</v>
      </c>
      <c r="B51" s="37"/>
      <c r="C51" s="37"/>
      <c r="D51" s="37"/>
      <c r="E51" s="37"/>
      <c r="F51" s="37"/>
      <c r="G51" s="36"/>
    </row>
    <row r="52" spans="1:7" ht="17.25">
      <c r="A52" s="37" t="s">
        <v>65</v>
      </c>
      <c r="B52" s="37"/>
      <c r="C52" s="37"/>
      <c r="D52" s="37"/>
      <c r="E52" s="37"/>
      <c r="F52" s="37"/>
      <c r="G52" s="36">
        <v>14835.36</v>
      </c>
    </row>
    <row r="53" spans="1:7" ht="17.2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7.25" customHeight="1" hidden="1">
      <c r="A54" s="37" t="s">
        <v>176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25673.46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391957.4593278128</v>
      </c>
    </row>
    <row r="57" spans="1:7" ht="15.75">
      <c r="A57" s="29" t="s">
        <v>70</v>
      </c>
      <c r="B57" s="29"/>
      <c r="C57" s="29"/>
      <c r="D57" s="29"/>
      <c r="E57" s="29"/>
      <c r="F57" s="29"/>
      <c r="G57" s="36">
        <v>0</v>
      </c>
    </row>
    <row r="58" spans="1:7" ht="16.5" customHeight="1">
      <c r="A58" s="40" t="s">
        <v>147</v>
      </c>
      <c r="B58" s="40"/>
      <c r="C58" s="40"/>
      <c r="D58" s="40"/>
      <c r="E58" s="40"/>
      <c r="F58" s="40"/>
      <c r="G58" s="39">
        <f>B3*B4*4+B3*B5*2+B3*B6*5+B3*B7*1+G59</f>
        <v>521625.075</v>
      </c>
    </row>
    <row r="59" spans="1:7" ht="16.5">
      <c r="A59" s="41" t="s">
        <v>144</v>
      </c>
      <c r="B59" s="41"/>
      <c r="C59" s="41"/>
      <c r="D59" s="41"/>
      <c r="E59" s="41"/>
      <c r="F59" s="41"/>
      <c r="G59" s="39">
        <f>160*1*12+141.6*1*12+215.6*1*12+141.6*2*12+269*1*12</f>
        <v>12832.8</v>
      </c>
    </row>
    <row r="60" spans="1:7" ht="17.25" customHeight="1">
      <c r="A60" s="42" t="s">
        <v>73</v>
      </c>
      <c r="B60" s="42"/>
      <c r="C60" s="42"/>
      <c r="D60" s="42"/>
      <c r="E60" s="42"/>
      <c r="F60" s="42"/>
      <c r="G60" s="43">
        <v>28149.15</v>
      </c>
    </row>
    <row r="61" spans="1:7" ht="63.75" customHeight="1">
      <c r="A61" s="44" t="s">
        <v>110</v>
      </c>
      <c r="B61" s="44"/>
      <c r="C61" s="44"/>
      <c r="D61" s="44"/>
      <c r="E61" s="44"/>
      <c r="F61" s="44"/>
      <c r="G61" s="45">
        <f>G56-G58+G60-G57</f>
        <v>-101518.46567218725</v>
      </c>
    </row>
    <row r="66" ht="15.75">
      <c r="A66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11"/>
  </sheetPr>
  <dimension ref="A1:G64"/>
  <sheetViews>
    <sheetView zoomScale="75" zoomScaleNormal="75" workbookViewId="0" topLeftCell="A1">
      <selection activeCell="G60" sqref="G60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57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44.25" customHeight="1">
      <c r="A1" s="5" t="s">
        <v>91</v>
      </c>
      <c r="B1" s="5"/>
      <c r="C1" s="5"/>
      <c r="D1" s="5"/>
      <c r="E1" s="5"/>
      <c r="F1" s="5"/>
      <c r="G1" s="5"/>
    </row>
    <row r="2" spans="1:7" ht="19.5">
      <c r="A2" s="6" t="s">
        <v>76</v>
      </c>
      <c r="B2" s="7" t="s">
        <v>209</v>
      </c>
      <c r="C2" s="7"/>
      <c r="D2" s="7"/>
      <c r="E2" s="7"/>
      <c r="F2" s="8" t="s">
        <v>3</v>
      </c>
      <c r="G2" s="9">
        <v>9</v>
      </c>
    </row>
    <row r="3" spans="1:7" ht="19.5">
      <c r="A3" s="6" t="s">
        <v>78</v>
      </c>
      <c r="B3" s="10">
        <v>8760.8</v>
      </c>
      <c r="F3" s="8" t="s">
        <v>5</v>
      </c>
      <c r="G3" s="11">
        <v>4</v>
      </c>
    </row>
    <row r="4" spans="1:7" ht="18.75">
      <c r="A4" s="12" t="s">
        <v>79</v>
      </c>
      <c r="B4" s="46">
        <v>14.53</v>
      </c>
      <c r="C4" s="1" t="s">
        <v>196</v>
      </c>
      <c r="F4" s="8" t="s">
        <v>8</v>
      </c>
      <c r="G4" s="9">
        <v>1992</v>
      </c>
    </row>
    <row r="5" spans="1:7" ht="18.75">
      <c r="A5" s="12" t="s">
        <v>79</v>
      </c>
      <c r="B5" s="46">
        <v>14.68</v>
      </c>
      <c r="C5" s="1" t="s">
        <v>197</v>
      </c>
      <c r="F5" s="8"/>
      <c r="G5" s="9"/>
    </row>
    <row r="6" spans="1:7" ht="18.75">
      <c r="A6" s="12" t="s">
        <v>79</v>
      </c>
      <c r="B6" s="46">
        <v>14.73</v>
      </c>
      <c r="C6" s="1" t="s">
        <v>81</v>
      </c>
      <c r="F6" s="8"/>
      <c r="G6" s="9"/>
    </row>
    <row r="7" spans="1:3" ht="18.75">
      <c r="A7" s="12" t="s">
        <v>79</v>
      </c>
      <c r="B7" s="46">
        <v>15.28</v>
      </c>
      <c r="C7" s="1" t="s">
        <v>198</v>
      </c>
    </row>
    <row r="8" spans="1:7" ht="19.5" hidden="1">
      <c r="A8" s="15" t="s">
        <v>12</v>
      </c>
      <c r="B8" s="16">
        <v>647.1</v>
      </c>
      <c r="C8" s="17"/>
      <c r="D8" s="17"/>
      <c r="E8" s="17"/>
      <c r="F8" s="17"/>
      <c r="G8" s="17"/>
    </row>
    <row r="9" spans="1:7" ht="19.5" hidden="1">
      <c r="A9" s="15" t="s">
        <v>13</v>
      </c>
      <c r="B9" s="18">
        <v>4</v>
      </c>
      <c r="C9" s="17" t="s">
        <v>82</v>
      </c>
      <c r="D9" s="17">
        <v>4</v>
      </c>
      <c r="E9" s="17"/>
      <c r="F9" s="17"/>
      <c r="G9" s="17"/>
    </row>
    <row r="10" spans="1:7" ht="33.7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9.5" hidden="1">
      <c r="A11" s="15"/>
      <c r="B11" s="18">
        <v>2517</v>
      </c>
      <c r="C11" s="18">
        <v>1185</v>
      </c>
      <c r="D11" s="18">
        <v>2517</v>
      </c>
      <c r="E11" s="18">
        <v>1185</v>
      </c>
      <c r="F11" s="17"/>
      <c r="G11" s="17"/>
    </row>
    <row r="12" spans="1:7" ht="19.5" hidden="1">
      <c r="A12" s="15" t="s">
        <v>19</v>
      </c>
      <c r="B12" s="21">
        <v>0</v>
      </c>
      <c r="C12" s="17" t="s">
        <v>210</v>
      </c>
      <c r="D12" s="17"/>
      <c r="E12" s="17"/>
      <c r="F12" s="17"/>
      <c r="G12" s="17"/>
    </row>
    <row r="13" spans="1:7" ht="19.5" hidden="1">
      <c r="A13" s="15" t="s">
        <v>21</v>
      </c>
      <c r="B13" s="21">
        <v>439.4</v>
      </c>
      <c r="C13" s="21">
        <v>873.9</v>
      </c>
      <c r="D13" s="21">
        <f>B13+C13</f>
        <v>1313.3</v>
      </c>
      <c r="E13" s="17"/>
      <c r="F13" s="17"/>
      <c r="G13" s="17"/>
    </row>
    <row r="14" spans="1:7" ht="45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9.5" hidden="1">
      <c r="A15" s="24"/>
      <c r="B15" s="25">
        <v>137</v>
      </c>
      <c r="C15" s="25"/>
      <c r="D15" s="25">
        <v>137</v>
      </c>
      <c r="E15" s="26">
        <f>D15+C15+B15</f>
        <v>274</v>
      </c>
      <c r="F15" s="18"/>
      <c r="G15" s="17"/>
    </row>
    <row r="16" spans="1:7" ht="17.2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7.25">
      <c r="A17" s="29" t="s">
        <v>30</v>
      </c>
      <c r="B17" s="29"/>
      <c r="C17" s="29"/>
      <c r="D17" s="29"/>
      <c r="E17" s="29"/>
      <c r="F17" s="29"/>
      <c r="G17" s="36">
        <f>B8*8.689*12</f>
        <v>67471.8228</v>
      </c>
    </row>
    <row r="18" spans="1:7" ht="17.25">
      <c r="A18" s="29" t="s">
        <v>31</v>
      </c>
      <c r="B18" s="29"/>
      <c r="C18" s="29"/>
      <c r="D18" s="29"/>
      <c r="E18" s="29"/>
      <c r="F18" s="29"/>
      <c r="G18" s="36">
        <f>B9*19.029*12</f>
        <v>913.392</v>
      </c>
    </row>
    <row r="19" spans="1:7" ht="17.25" customHeight="1" hidden="1">
      <c r="A19" s="29" t="s">
        <v>85</v>
      </c>
      <c r="B19" s="29"/>
      <c r="C19" s="29"/>
      <c r="D19" s="29"/>
      <c r="E19" s="29"/>
      <c r="F19" s="29"/>
      <c r="G19" s="36">
        <f>B12*0.4523*4</f>
        <v>0</v>
      </c>
    </row>
    <row r="20" spans="1:7" ht="17.25">
      <c r="A20" s="29" t="s">
        <v>33</v>
      </c>
      <c r="B20" s="29"/>
      <c r="C20" s="29"/>
      <c r="D20" s="29"/>
      <c r="E20" s="29"/>
      <c r="F20" s="29"/>
      <c r="G20" s="36">
        <f>(B11*12.84/100*189)+(C11*9.63/100*113)+(D11*32.11/100*71)+(E11*2.41/100*12)</f>
        <v>131702.12039999999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65">
        <f>(1014567.18*1.18+308700+213742)/244019.8*B3</f>
        <v>61738.20997821455</v>
      </c>
    </row>
    <row r="22" spans="1:7" ht="17.25">
      <c r="A22" s="29" t="s">
        <v>35</v>
      </c>
      <c r="B22" s="29"/>
      <c r="C22" s="29"/>
      <c r="D22" s="29"/>
      <c r="E22" s="29"/>
      <c r="F22" s="29"/>
      <c r="G22" s="36">
        <f>D13*0.135*6</f>
        <v>1063.7730000000001</v>
      </c>
    </row>
    <row r="23" spans="1:7" ht="17.25" hidden="1">
      <c r="A23" s="29" t="s">
        <v>36</v>
      </c>
      <c r="B23" s="29"/>
      <c r="C23" s="29"/>
      <c r="D23" s="29"/>
      <c r="E23" s="29"/>
      <c r="F23" s="29"/>
      <c r="G23" s="36">
        <v>0</v>
      </c>
    </row>
    <row r="24" spans="1:7" ht="17.25">
      <c r="A24" s="29" t="s">
        <v>37</v>
      </c>
      <c r="B24" s="29"/>
      <c r="C24" s="29"/>
      <c r="D24" s="29"/>
      <c r="E24" s="29"/>
      <c r="F24" s="29"/>
      <c r="G24" s="36">
        <f>B3*0.885*12</f>
        <v>93039.696</v>
      </c>
    </row>
    <row r="25" spans="1:7" ht="17.25">
      <c r="A25" s="29" t="s">
        <v>87</v>
      </c>
      <c r="B25" s="29"/>
      <c r="C25" s="29"/>
      <c r="D25" s="29"/>
      <c r="E25" s="29"/>
      <c r="F25" s="29"/>
      <c r="G25" s="36">
        <f>B3*2.648*4+B3*2.245*8</f>
        <v>250138.3616</v>
      </c>
    </row>
    <row r="26" spans="1:7" ht="17.25">
      <c r="A26" s="29" t="s">
        <v>39</v>
      </c>
      <c r="B26" s="29"/>
      <c r="C26" s="29"/>
      <c r="D26" s="29"/>
      <c r="E26" s="29"/>
      <c r="F26" s="29"/>
      <c r="G26" s="36">
        <f>2201*4</f>
        <v>8804</v>
      </c>
    </row>
    <row r="27" spans="1:7" ht="17.25">
      <c r="A27" s="29" t="s">
        <v>40</v>
      </c>
      <c r="B27" s="29"/>
      <c r="C27" s="29"/>
      <c r="D27" s="29"/>
      <c r="E27" s="29"/>
      <c r="F27" s="29"/>
      <c r="G27" s="36">
        <f>4*1209</f>
        <v>4836</v>
      </c>
    </row>
    <row r="28" spans="1:7" ht="17.25">
      <c r="A28" s="29" t="s">
        <v>41</v>
      </c>
      <c r="B28" s="29"/>
      <c r="C28" s="29"/>
      <c r="D28" s="29"/>
      <c r="E28" s="29"/>
      <c r="F28" s="29"/>
      <c r="G28" s="36">
        <v>24278.84</v>
      </c>
    </row>
    <row r="29" spans="1:7" ht="17.25" hidden="1">
      <c r="A29" s="29" t="s">
        <v>42</v>
      </c>
      <c r="B29" s="29"/>
      <c r="C29" s="29"/>
      <c r="D29" s="29"/>
      <c r="E29" s="29"/>
      <c r="F29" s="29"/>
      <c r="G29" s="36">
        <v>0</v>
      </c>
    </row>
    <row r="30" spans="1:7" ht="17.25" hidden="1">
      <c r="A30" s="29" t="s">
        <v>43</v>
      </c>
      <c r="B30" s="29"/>
      <c r="C30" s="29"/>
      <c r="D30" s="29"/>
      <c r="E30" s="29"/>
      <c r="F30" s="29"/>
      <c r="G30" s="36">
        <v>0</v>
      </c>
    </row>
    <row r="31" spans="1:7" ht="17.25" customHeight="1" hidden="1">
      <c r="A31" s="29" t="s">
        <v>44</v>
      </c>
      <c r="B31" s="29"/>
      <c r="C31" s="29"/>
      <c r="D31" s="29"/>
      <c r="E31" s="29"/>
      <c r="F31" s="29"/>
      <c r="G31" s="36">
        <v>0</v>
      </c>
    </row>
    <row r="32" spans="1:7" ht="17.25">
      <c r="A32" s="29" t="s">
        <v>45</v>
      </c>
      <c r="B32" s="29"/>
      <c r="C32" s="29"/>
      <c r="D32" s="29"/>
      <c r="E32" s="29"/>
      <c r="F32" s="29"/>
      <c r="G32" s="36">
        <f>B3*1.81*6+B3*1.86*6</f>
        <v>192912.816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6">
        <f>(F15*4*8.57)+(B15*2*3.14)+(C15*1*3.14)+(D15*1*3.14)</f>
        <v>1290.54</v>
      </c>
    </row>
    <row r="34" spans="1:7" ht="17.25">
      <c r="A34" s="29" t="s">
        <v>47</v>
      </c>
      <c r="B34" s="29"/>
      <c r="C34" s="29"/>
      <c r="D34" s="29"/>
      <c r="E34" s="29"/>
      <c r="F34" s="29"/>
      <c r="G34" s="36">
        <f>B3*0.65*12</f>
        <v>68334.23999999999</v>
      </c>
    </row>
    <row r="35" spans="1:7" ht="17.25">
      <c r="A35" s="29" t="s">
        <v>48</v>
      </c>
      <c r="B35" s="29"/>
      <c r="C35" s="29"/>
      <c r="D35" s="29"/>
      <c r="E35" s="29"/>
      <c r="F35" s="29"/>
      <c r="G35" s="36">
        <f>B3*0.82*12</f>
        <v>86206.272</v>
      </c>
    </row>
    <row r="36" spans="1:7" ht="17.25" customHeight="1">
      <c r="A36" s="29" t="s">
        <v>49</v>
      </c>
      <c r="B36" s="29"/>
      <c r="C36" s="29"/>
      <c r="D36" s="29"/>
      <c r="E36" s="29"/>
      <c r="F36" s="29"/>
      <c r="G36" s="36">
        <f>B3*0.95*12</f>
        <v>99873.12</v>
      </c>
    </row>
    <row r="37" spans="1:7" ht="17.25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1092603.2037782145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7.25" hidden="1">
      <c r="A39" s="29" t="s">
        <v>52</v>
      </c>
      <c r="B39" s="29"/>
      <c r="C39" s="29"/>
      <c r="D39" s="29"/>
      <c r="E39" s="29"/>
      <c r="F39" s="29"/>
      <c r="G39" s="36">
        <f>B3*3.47*12</f>
        <v>364799.712</v>
      </c>
    </row>
    <row r="40" spans="1:7" ht="17.25">
      <c r="A40" s="29" t="s">
        <v>53</v>
      </c>
      <c r="B40" s="29"/>
      <c r="C40" s="29"/>
      <c r="D40" s="29"/>
      <c r="E40" s="29"/>
      <c r="F40" s="29"/>
      <c r="G40" s="36"/>
    </row>
    <row r="41" spans="1:7" ht="16.5">
      <c r="A41" s="37" t="s">
        <v>54</v>
      </c>
      <c r="B41" s="37"/>
      <c r="C41" s="37"/>
      <c r="D41" s="37"/>
      <c r="E41" s="37"/>
      <c r="F41" s="37"/>
      <c r="G41" s="36">
        <v>2023.49</v>
      </c>
    </row>
    <row r="42" spans="1:7" ht="16.5">
      <c r="A42" s="37" t="s">
        <v>55</v>
      </c>
      <c r="B42" s="37"/>
      <c r="C42" s="37"/>
      <c r="D42" s="37"/>
      <c r="E42" s="37"/>
      <c r="F42" s="37"/>
      <c r="G42" s="36">
        <f>2809.16+3182.71+3200.23</f>
        <v>9192.1</v>
      </c>
    </row>
    <row r="43" spans="1:7" ht="16.5">
      <c r="A43" s="37" t="s">
        <v>56</v>
      </c>
      <c r="B43" s="37"/>
      <c r="C43" s="37"/>
      <c r="D43" s="37"/>
      <c r="E43" s="37"/>
      <c r="F43" s="37"/>
      <c r="G43" s="36"/>
    </row>
    <row r="44" spans="1:7" ht="16.5" hidden="1">
      <c r="A44" s="37" t="s">
        <v>57</v>
      </c>
      <c r="B44" s="37"/>
      <c r="C44" s="37"/>
      <c r="D44" s="37"/>
      <c r="E44" s="37"/>
      <c r="F44" s="37"/>
      <c r="G44" s="36"/>
    </row>
    <row r="45" spans="1:7" ht="16.5" hidden="1">
      <c r="A45" s="37" t="s">
        <v>58</v>
      </c>
      <c r="B45" s="37"/>
      <c r="C45" s="37"/>
      <c r="D45" s="37"/>
      <c r="E45" s="37"/>
      <c r="F45" s="37"/>
      <c r="G45" s="36"/>
    </row>
    <row r="46" spans="1:7" ht="16.5">
      <c r="A46" s="37" t="s">
        <v>59</v>
      </c>
      <c r="B46" s="37"/>
      <c r="C46" s="37"/>
      <c r="D46" s="37"/>
      <c r="E46" s="37"/>
      <c r="F46" s="37"/>
      <c r="G46" s="36">
        <v>871.3</v>
      </c>
    </row>
    <row r="47" spans="1:7" ht="16.5">
      <c r="A47" s="37" t="s">
        <v>60</v>
      </c>
      <c r="B47" s="37"/>
      <c r="C47" s="37"/>
      <c r="D47" s="37"/>
      <c r="E47" s="37"/>
      <c r="F47" s="37"/>
      <c r="G47" s="36">
        <f>42.07+42.08+724.55+2876.97+42.08+42.08+42.08</f>
        <v>3811.9099999999994</v>
      </c>
    </row>
    <row r="48" spans="1:7" ht="17.25">
      <c r="A48" s="37" t="s">
        <v>61</v>
      </c>
      <c r="B48" s="37"/>
      <c r="C48" s="37"/>
      <c r="D48" s="37"/>
      <c r="E48" s="37"/>
      <c r="F48" s="37"/>
      <c r="G48" s="36">
        <f>1011.41+885.93+2520.06+3780.08+2520.06+2520.06+2520.06</f>
        <v>15757.659999999998</v>
      </c>
    </row>
    <row r="49" spans="1:7" ht="17.25">
      <c r="A49" s="37" t="s">
        <v>62</v>
      </c>
      <c r="B49" s="37"/>
      <c r="C49" s="37"/>
      <c r="D49" s="37"/>
      <c r="E49" s="37"/>
      <c r="F49" s="37"/>
      <c r="G49" s="36">
        <v>1372.56</v>
      </c>
    </row>
    <row r="50" spans="1:7" ht="17.25" hidden="1">
      <c r="A50" s="37" t="s">
        <v>63</v>
      </c>
      <c r="B50" s="37"/>
      <c r="C50" s="37"/>
      <c r="D50" s="37"/>
      <c r="E50" s="37"/>
      <c r="F50" s="37"/>
      <c r="G50" s="36"/>
    </row>
    <row r="51" spans="1:7" ht="17.25" hidden="1">
      <c r="A51" s="37" t="s">
        <v>64</v>
      </c>
      <c r="B51" s="37"/>
      <c r="C51" s="37"/>
      <c r="D51" s="37"/>
      <c r="E51" s="37"/>
      <c r="F51" s="37"/>
      <c r="G51" s="36"/>
    </row>
    <row r="52" spans="1:7" ht="17.25">
      <c r="A52" s="37" t="s">
        <v>65</v>
      </c>
      <c r="B52" s="37"/>
      <c r="C52" s="37"/>
      <c r="D52" s="37"/>
      <c r="E52" s="37"/>
      <c r="F52" s="37"/>
      <c r="G52" s="36">
        <v>61255.68</v>
      </c>
    </row>
    <row r="53" spans="1:7" ht="17.2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7.2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94284.7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1186887.9037782145</v>
      </c>
    </row>
    <row r="57" spans="1:7" ht="17.25">
      <c r="A57" s="29" t="s">
        <v>70</v>
      </c>
      <c r="B57" s="29"/>
      <c r="C57" s="29"/>
      <c r="D57" s="29"/>
      <c r="E57" s="29"/>
      <c r="F57" s="29"/>
      <c r="G57" s="36">
        <v>0</v>
      </c>
    </row>
    <row r="58" spans="1:7" ht="16.5" customHeight="1">
      <c r="A58" s="40" t="s">
        <v>147</v>
      </c>
      <c r="B58" s="40"/>
      <c r="C58" s="40"/>
      <c r="D58" s="40"/>
      <c r="E58" s="40"/>
      <c r="F58" s="40"/>
      <c r="G58" s="39">
        <f>B3*B4*4+B3*B5*2+B3*B6*5+B3*B7*1+G59</f>
        <v>1567980.728</v>
      </c>
    </row>
    <row r="59" spans="1:7" ht="16.5">
      <c r="A59" s="41" t="s">
        <v>144</v>
      </c>
      <c r="B59" s="41"/>
      <c r="C59" s="41"/>
      <c r="D59" s="41"/>
      <c r="E59" s="41"/>
      <c r="F59" s="41"/>
      <c r="G59" s="36">
        <f>160*3*12+141.6*1*12+215.6*2*12+141.6*2*12+269*2*12</f>
        <v>22488</v>
      </c>
    </row>
    <row r="60" spans="1:7" ht="17.25" customHeight="1">
      <c r="A60" s="42" t="s">
        <v>73</v>
      </c>
      <c r="B60" s="42"/>
      <c r="C60" s="42"/>
      <c r="D60" s="42"/>
      <c r="E60" s="42"/>
      <c r="F60" s="42"/>
      <c r="G60" s="43">
        <v>72318.11</v>
      </c>
    </row>
    <row r="61" spans="1:7" ht="57" customHeight="1">
      <c r="A61" s="44" t="s">
        <v>110</v>
      </c>
      <c r="B61" s="44"/>
      <c r="C61" s="44"/>
      <c r="D61" s="44"/>
      <c r="E61" s="44"/>
      <c r="F61" s="44"/>
      <c r="G61" s="45">
        <f>G56-G58-G57+G60</f>
        <v>-308774.7142217854</v>
      </c>
    </row>
    <row r="64" ht="17.25">
      <c r="A64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5"/>
  </sheetPr>
  <dimension ref="A1:G66"/>
  <sheetViews>
    <sheetView zoomScale="75" zoomScaleNormal="75" workbookViewId="0" topLeftCell="A1">
      <selection activeCell="G36" sqref="G36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4" width="9.140625" style="1" customWidth="1"/>
    <col min="5" max="5" width="8.140625" style="1" customWidth="1"/>
    <col min="6" max="6" width="21.421875" style="1" customWidth="1"/>
    <col min="7" max="7" width="15.0039062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6.25" customHeight="1">
      <c r="A1" s="5" t="s">
        <v>91</v>
      </c>
      <c r="B1" s="5"/>
      <c r="C1" s="5"/>
      <c r="D1" s="5"/>
      <c r="E1" s="5"/>
      <c r="F1" s="5"/>
      <c r="G1" s="5"/>
    </row>
    <row r="2" spans="1:7" ht="19.5">
      <c r="A2" s="6" t="s">
        <v>1</v>
      </c>
      <c r="B2" s="7" t="s">
        <v>211</v>
      </c>
      <c r="C2" s="7"/>
      <c r="D2" s="7"/>
      <c r="E2" s="7"/>
      <c r="F2" s="8" t="s">
        <v>3</v>
      </c>
      <c r="G2" s="9">
        <v>9</v>
      </c>
    </row>
    <row r="3" spans="1:7" ht="19.5">
      <c r="A3" s="6" t="s">
        <v>4</v>
      </c>
      <c r="B3" s="10">
        <v>1910.9</v>
      </c>
      <c r="F3" s="8" t="s">
        <v>5</v>
      </c>
      <c r="G3" s="11">
        <v>1</v>
      </c>
    </row>
    <row r="4" spans="1:7" ht="18.75">
      <c r="A4" s="12" t="s">
        <v>6</v>
      </c>
      <c r="B4" s="46">
        <v>12.21</v>
      </c>
      <c r="C4" s="1" t="s">
        <v>196</v>
      </c>
      <c r="F4" s="8" t="s">
        <v>8</v>
      </c>
      <c r="G4" s="9">
        <v>1992</v>
      </c>
    </row>
    <row r="5" spans="1:7" ht="18.75">
      <c r="A5" s="12" t="s">
        <v>6</v>
      </c>
      <c r="B5" s="46">
        <v>12.36</v>
      </c>
      <c r="C5" s="1" t="s">
        <v>197</v>
      </c>
      <c r="F5" s="8"/>
      <c r="G5" s="9"/>
    </row>
    <row r="6" spans="1:7" ht="18.75">
      <c r="A6" s="12" t="s">
        <v>6</v>
      </c>
      <c r="B6" s="46">
        <v>12.41</v>
      </c>
      <c r="C6" s="1" t="s">
        <v>81</v>
      </c>
      <c r="F6" s="8"/>
      <c r="G6" s="9"/>
    </row>
    <row r="7" spans="1:3" ht="18.75">
      <c r="A7" s="12" t="s">
        <v>6</v>
      </c>
      <c r="B7" s="46">
        <v>12.81</v>
      </c>
      <c r="C7" s="1" t="s">
        <v>198</v>
      </c>
    </row>
    <row r="8" spans="1:7" ht="19.5" hidden="1">
      <c r="A8" s="15" t="s">
        <v>12</v>
      </c>
      <c r="B8" s="16">
        <v>244.2</v>
      </c>
      <c r="C8" s="17"/>
      <c r="D8" s="17"/>
      <c r="E8" s="17"/>
      <c r="F8" s="17"/>
      <c r="G8" s="17"/>
    </row>
    <row r="9" spans="1:7" ht="19.5" hidden="1">
      <c r="A9" s="15" t="s">
        <v>13</v>
      </c>
      <c r="B9" s="18">
        <v>1</v>
      </c>
      <c r="C9" s="17" t="s">
        <v>82</v>
      </c>
      <c r="D9" s="17">
        <v>1</v>
      </c>
      <c r="E9" s="17"/>
      <c r="F9" s="17"/>
      <c r="G9" s="17"/>
    </row>
    <row r="10" spans="1:7" ht="33.7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9.5" hidden="1">
      <c r="A11" s="15"/>
      <c r="B11" s="18">
        <v>650</v>
      </c>
      <c r="C11" s="18">
        <v>640</v>
      </c>
      <c r="D11" s="18">
        <v>150</v>
      </c>
      <c r="E11" s="18">
        <v>1140</v>
      </c>
      <c r="F11" s="17"/>
      <c r="G11" s="17"/>
    </row>
    <row r="12" spans="1:7" ht="19.5" hidden="1">
      <c r="A12" s="15" t="s">
        <v>19</v>
      </c>
      <c r="B12" s="21">
        <v>0</v>
      </c>
      <c r="C12" s="17" t="s">
        <v>137</v>
      </c>
      <c r="D12" s="17"/>
      <c r="E12" s="17"/>
      <c r="F12" s="17"/>
      <c r="G12" s="17"/>
    </row>
    <row r="13" spans="1:7" ht="19.5" hidden="1">
      <c r="A13" s="15" t="s">
        <v>21</v>
      </c>
      <c r="B13" s="21">
        <v>0</v>
      </c>
      <c r="C13" s="21">
        <v>212.3</v>
      </c>
      <c r="D13" s="21">
        <f>B13+C13</f>
        <v>212.3</v>
      </c>
      <c r="E13" s="17"/>
      <c r="F13" s="17"/>
      <c r="G13" s="17"/>
    </row>
    <row r="14" spans="1:7" ht="45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9.5" hidden="1">
      <c r="A15" s="24"/>
      <c r="B15" s="25">
        <v>36</v>
      </c>
      <c r="C15" s="25"/>
      <c r="D15" s="25">
        <v>36</v>
      </c>
      <c r="E15" s="26">
        <f>D15+C15+B15</f>
        <v>72</v>
      </c>
      <c r="F15" s="18"/>
      <c r="G15" s="17"/>
    </row>
    <row r="16" spans="1:7" ht="17.2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7.25">
      <c r="A17" s="29" t="s">
        <v>30</v>
      </c>
      <c r="B17" s="29"/>
      <c r="C17" s="29"/>
      <c r="D17" s="29"/>
      <c r="E17" s="29"/>
      <c r="F17" s="29"/>
      <c r="G17" s="36">
        <f>B8*7.012*12</f>
        <v>20547.964799999998</v>
      </c>
    </row>
    <row r="18" spans="1:7" ht="17.25">
      <c r="A18" s="29" t="s">
        <v>31</v>
      </c>
      <c r="B18" s="29"/>
      <c r="C18" s="29"/>
      <c r="D18" s="29"/>
      <c r="E18" s="29"/>
      <c r="F18" s="29"/>
      <c r="G18" s="36">
        <f>B9*35.705*12</f>
        <v>428.46</v>
      </c>
    </row>
    <row r="19" spans="1:7" ht="17.25" customHeight="1" hidden="1">
      <c r="A19" s="29" t="s">
        <v>85</v>
      </c>
      <c r="B19" s="29"/>
      <c r="C19" s="29"/>
      <c r="D19" s="29"/>
      <c r="E19" s="29"/>
      <c r="F19" s="29"/>
      <c r="G19" s="36">
        <f>B12*0.3613*12</f>
        <v>0</v>
      </c>
    </row>
    <row r="20" spans="1:7" ht="17.25">
      <c r="A20" s="29" t="s">
        <v>33</v>
      </c>
      <c r="B20" s="29"/>
      <c r="C20" s="29"/>
      <c r="D20" s="29"/>
      <c r="E20" s="29"/>
      <c r="F20" s="29"/>
      <c r="G20" s="36">
        <f>(B11*9.46/100*189)+(C11*7.09/100*113)+(D11*23.66/100*71)+(E11*1.77/100*12)</f>
        <v>19511.024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65">
        <f>(1014567.18*1.18+308700+213742)/244019.8*B3</f>
        <v>13466.298220181969</v>
      </c>
    </row>
    <row r="22" spans="1:7" ht="17.25">
      <c r="A22" s="29" t="s">
        <v>35</v>
      </c>
      <c r="B22" s="29"/>
      <c r="C22" s="29"/>
      <c r="D22" s="29"/>
      <c r="E22" s="29"/>
      <c r="F22" s="29"/>
      <c r="G22" s="36">
        <f>D13*0.135*6</f>
        <v>171.96300000000002</v>
      </c>
    </row>
    <row r="23" spans="1:7" ht="17.25" hidden="1">
      <c r="A23" s="29" t="s">
        <v>36</v>
      </c>
      <c r="B23" s="29"/>
      <c r="C23" s="29"/>
      <c r="D23" s="29"/>
      <c r="E23" s="29"/>
      <c r="F23" s="29"/>
      <c r="G23" s="36">
        <v>0</v>
      </c>
    </row>
    <row r="24" spans="1:7" ht="17.25">
      <c r="A24" s="29" t="s">
        <v>37</v>
      </c>
      <c r="B24" s="29"/>
      <c r="C24" s="29"/>
      <c r="D24" s="29"/>
      <c r="E24" s="29"/>
      <c r="F24" s="29"/>
      <c r="G24" s="36">
        <f>B3*0.885*12</f>
        <v>20293.758</v>
      </c>
    </row>
    <row r="25" spans="1:7" ht="16.5">
      <c r="A25" s="29" t="s">
        <v>87</v>
      </c>
      <c r="B25" s="29"/>
      <c r="C25" s="29"/>
      <c r="D25" s="29"/>
      <c r="E25" s="29"/>
      <c r="F25" s="29"/>
      <c r="G25" s="36">
        <f>B3*2.648*4+B3*2.245*8</f>
        <v>54560.016800000005</v>
      </c>
    </row>
    <row r="26" spans="1:7" ht="17.25">
      <c r="A26" s="29" t="s">
        <v>39</v>
      </c>
      <c r="B26" s="29"/>
      <c r="C26" s="29"/>
      <c r="D26" s="29"/>
      <c r="E26" s="29"/>
      <c r="F26" s="29"/>
      <c r="G26" s="36">
        <f>2201</f>
        <v>2201</v>
      </c>
    </row>
    <row r="27" spans="1:7" ht="17.25">
      <c r="A27" s="29" t="s">
        <v>40</v>
      </c>
      <c r="B27" s="29"/>
      <c r="C27" s="29"/>
      <c r="D27" s="29"/>
      <c r="E27" s="29"/>
      <c r="F27" s="29"/>
      <c r="G27" s="36">
        <f>1*1209</f>
        <v>1209</v>
      </c>
    </row>
    <row r="28" spans="1:7" ht="17.25">
      <c r="A28" s="29" t="s">
        <v>41</v>
      </c>
      <c r="B28" s="29"/>
      <c r="C28" s="29"/>
      <c r="D28" s="29"/>
      <c r="E28" s="29"/>
      <c r="F28" s="29"/>
      <c r="G28" s="36">
        <v>7780.64</v>
      </c>
    </row>
    <row r="29" spans="1:7" ht="17.25" hidden="1">
      <c r="A29" s="29" t="s">
        <v>42</v>
      </c>
      <c r="B29" s="29"/>
      <c r="C29" s="29"/>
      <c r="D29" s="29"/>
      <c r="E29" s="29"/>
      <c r="F29" s="29"/>
      <c r="G29" s="36">
        <v>0</v>
      </c>
    </row>
    <row r="30" spans="1:7" ht="17.25" hidden="1">
      <c r="A30" s="29" t="s">
        <v>43</v>
      </c>
      <c r="B30" s="29"/>
      <c r="C30" s="29"/>
      <c r="D30" s="29"/>
      <c r="E30" s="29"/>
      <c r="F30" s="29"/>
      <c r="G30" s="36">
        <v>0</v>
      </c>
    </row>
    <row r="31" spans="1:7" ht="17.25" customHeight="1" hidden="1">
      <c r="A31" s="29" t="s">
        <v>44</v>
      </c>
      <c r="B31" s="29"/>
      <c r="C31" s="29"/>
      <c r="D31" s="29"/>
      <c r="E31" s="29"/>
      <c r="F31" s="29"/>
      <c r="G31" s="36">
        <v>0</v>
      </c>
    </row>
    <row r="32" spans="1:7" ht="17.25">
      <c r="A32" s="29" t="s">
        <v>45</v>
      </c>
      <c r="B32" s="29"/>
      <c r="C32" s="29"/>
      <c r="D32" s="29"/>
      <c r="E32" s="29"/>
      <c r="F32" s="29"/>
      <c r="G32" s="36">
        <f>B3*1.81*6+B3*1.86*6</f>
        <v>42078.018000000004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6">
        <f>(F15*4*8.57)+(B15*2*3.14)+(C15*1*3.14)+(D15*1*3.14)</f>
        <v>339.12</v>
      </c>
    </row>
    <row r="34" spans="1:7" ht="17.25">
      <c r="A34" s="29" t="s">
        <v>47</v>
      </c>
      <c r="B34" s="29"/>
      <c r="C34" s="29"/>
      <c r="D34" s="29"/>
      <c r="E34" s="29"/>
      <c r="F34" s="29"/>
      <c r="G34" s="36">
        <f>B3*0.65*12</f>
        <v>14905.02</v>
      </c>
    </row>
    <row r="35" spans="1:7" ht="17.25">
      <c r="A35" s="29" t="s">
        <v>48</v>
      </c>
      <c r="B35" s="29"/>
      <c r="C35" s="29"/>
      <c r="D35" s="29"/>
      <c r="E35" s="29"/>
      <c r="F35" s="29"/>
      <c r="G35" s="36">
        <f>B3*0.82*12</f>
        <v>18803.256</v>
      </c>
    </row>
    <row r="36" spans="1:7" ht="17.25" customHeight="1">
      <c r="A36" s="29" t="s">
        <v>49</v>
      </c>
      <c r="B36" s="29"/>
      <c r="C36" s="29"/>
      <c r="D36" s="29"/>
      <c r="E36" s="29"/>
      <c r="F36" s="29"/>
      <c r="G36" s="36">
        <f>B3*0.95*12</f>
        <v>21784.260000000002</v>
      </c>
    </row>
    <row r="37" spans="1:7" ht="17.25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238079.79882018198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7.25" hidden="1">
      <c r="A39" s="29" t="s">
        <v>52</v>
      </c>
      <c r="B39" s="29"/>
      <c r="C39" s="29"/>
      <c r="D39" s="29"/>
      <c r="E39" s="29"/>
      <c r="F39" s="29"/>
      <c r="G39" s="36">
        <f>B3*2.96*12</f>
        <v>67875.168</v>
      </c>
    </row>
    <row r="40" spans="1:7" ht="17.25">
      <c r="A40" s="29" t="s">
        <v>53</v>
      </c>
      <c r="B40" s="29"/>
      <c r="C40" s="29"/>
      <c r="D40" s="29"/>
      <c r="E40" s="29"/>
      <c r="F40" s="29"/>
      <c r="G40" s="36"/>
    </row>
    <row r="41" spans="1:7" ht="17.25">
      <c r="A41" s="37" t="s">
        <v>54</v>
      </c>
      <c r="B41" s="37"/>
      <c r="C41" s="37"/>
      <c r="D41" s="37"/>
      <c r="E41" s="37"/>
      <c r="F41" s="37"/>
      <c r="G41" s="36"/>
    </row>
    <row r="42" spans="1:7" ht="16.5">
      <c r="A42" s="37" t="s">
        <v>55</v>
      </c>
      <c r="B42" s="37"/>
      <c r="C42" s="37"/>
      <c r="D42" s="37"/>
      <c r="E42" s="37"/>
      <c r="F42" s="37"/>
      <c r="G42" s="36"/>
    </row>
    <row r="43" spans="1:7" ht="16.5">
      <c r="A43" s="37" t="s">
        <v>56</v>
      </c>
      <c r="B43" s="37"/>
      <c r="C43" s="37"/>
      <c r="D43" s="37"/>
      <c r="E43" s="37"/>
      <c r="F43" s="37"/>
      <c r="G43" s="36"/>
    </row>
    <row r="44" spans="1:7" ht="16.5" hidden="1">
      <c r="A44" s="37" t="s">
        <v>57</v>
      </c>
      <c r="B44" s="37"/>
      <c r="C44" s="37"/>
      <c r="D44" s="37"/>
      <c r="E44" s="37"/>
      <c r="F44" s="37"/>
      <c r="G44" s="36"/>
    </row>
    <row r="45" spans="1:7" ht="16.5" hidden="1">
      <c r="A45" s="37" t="s">
        <v>212</v>
      </c>
      <c r="B45" s="37"/>
      <c r="C45" s="37"/>
      <c r="D45" s="37"/>
      <c r="E45" s="37"/>
      <c r="F45" s="37"/>
      <c r="G45" s="36"/>
    </row>
    <row r="46" spans="1:7" ht="16.5">
      <c r="A46" s="37" t="s">
        <v>59</v>
      </c>
      <c r="B46" s="37"/>
      <c r="C46" s="37"/>
      <c r="D46" s="37"/>
      <c r="E46" s="37"/>
      <c r="F46" s="37"/>
      <c r="G46" s="36">
        <v>233.3</v>
      </c>
    </row>
    <row r="47" spans="1:7" ht="16.5">
      <c r="A47" s="37" t="s">
        <v>60</v>
      </c>
      <c r="B47" s="37"/>
      <c r="C47" s="37"/>
      <c r="D47" s="37"/>
      <c r="E47" s="37"/>
      <c r="F47" s="37"/>
      <c r="G47" s="36">
        <f>42.08+2027.83</f>
        <v>2069.91</v>
      </c>
    </row>
    <row r="48" spans="1:7" ht="16.5">
      <c r="A48" s="37" t="s">
        <v>61</v>
      </c>
      <c r="B48" s="37"/>
      <c r="C48" s="37"/>
      <c r="D48" s="37"/>
      <c r="E48" s="37"/>
      <c r="F48" s="37"/>
      <c r="G48" s="36">
        <f>2191.07+7560.17</f>
        <v>9751.24</v>
      </c>
    </row>
    <row r="49" spans="1:7" ht="17.25" hidden="1">
      <c r="A49" s="37" t="s">
        <v>62</v>
      </c>
      <c r="B49" s="37"/>
      <c r="C49" s="37"/>
      <c r="D49" s="37"/>
      <c r="E49" s="37"/>
      <c r="F49" s="37"/>
      <c r="G49" s="36"/>
    </row>
    <row r="50" spans="1:7" ht="17.25" hidden="1">
      <c r="A50" s="37" t="s">
        <v>63</v>
      </c>
      <c r="B50" s="37"/>
      <c r="C50" s="37"/>
      <c r="D50" s="37"/>
      <c r="E50" s="37"/>
      <c r="F50" s="37"/>
      <c r="G50" s="36"/>
    </row>
    <row r="51" spans="1:7" ht="17.25" hidden="1">
      <c r="A51" s="37" t="s">
        <v>64</v>
      </c>
      <c r="B51" s="37"/>
      <c r="C51" s="37"/>
      <c r="D51" s="37"/>
      <c r="E51" s="37"/>
      <c r="F51" s="37"/>
      <c r="G51" s="36"/>
    </row>
    <row r="52" spans="1:7" ht="17.25">
      <c r="A52" s="37" t="s">
        <v>65</v>
      </c>
      <c r="B52" s="37"/>
      <c r="C52" s="37"/>
      <c r="D52" s="37"/>
      <c r="E52" s="37"/>
      <c r="F52" s="37"/>
      <c r="G52" s="36">
        <v>16749.6</v>
      </c>
    </row>
    <row r="53" spans="1:7" ht="17.2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7.25" customHeight="1" hidden="1">
      <c r="A54" s="37" t="s">
        <v>176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28804.05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266883.848820182</v>
      </c>
    </row>
    <row r="57" spans="1:7" ht="17.25">
      <c r="A57" s="29" t="s">
        <v>70</v>
      </c>
      <c r="B57" s="29"/>
      <c r="C57" s="29"/>
      <c r="D57" s="29"/>
      <c r="E57" s="29"/>
      <c r="F57" s="29"/>
      <c r="G57" s="36">
        <v>0</v>
      </c>
    </row>
    <row r="58" spans="1:7" ht="16.5" customHeight="1">
      <c r="A58" s="40" t="s">
        <v>147</v>
      </c>
      <c r="B58" s="40"/>
      <c r="C58" s="40"/>
      <c r="D58" s="40"/>
      <c r="E58" s="40"/>
      <c r="F58" s="40"/>
      <c r="G58" s="39">
        <f>B3*B4*4+B3*B5*2+B3*B6*5+B3*B7*1+G59</f>
        <v>293050.178</v>
      </c>
    </row>
    <row r="59" spans="1:7" ht="16.5">
      <c r="A59" s="41" t="s">
        <v>144</v>
      </c>
      <c r="B59" s="41"/>
      <c r="C59" s="41"/>
      <c r="D59" s="41"/>
      <c r="E59" s="41"/>
      <c r="F59" s="41"/>
      <c r="G59" s="36">
        <f>160*1*12+141.6*1*12+215.6*1*12+269*1*12</f>
        <v>9434.4</v>
      </c>
    </row>
    <row r="60" spans="1:7" ht="17.25" customHeight="1">
      <c r="A60" s="42" t="s">
        <v>73</v>
      </c>
      <c r="B60" s="42"/>
      <c r="C60" s="42"/>
      <c r="D60" s="42"/>
      <c r="E60" s="42"/>
      <c r="F60" s="42"/>
      <c r="G60" s="43">
        <v>23982.35</v>
      </c>
    </row>
    <row r="61" spans="1:7" ht="60" customHeight="1">
      <c r="A61" s="44" t="s">
        <v>110</v>
      </c>
      <c r="B61" s="44"/>
      <c r="C61" s="44"/>
      <c r="D61" s="44"/>
      <c r="E61" s="44"/>
      <c r="F61" s="44"/>
      <c r="G61" s="45">
        <f>G56-G58+G60-G57</f>
        <v>-2183.979179818045</v>
      </c>
    </row>
    <row r="66" ht="17.25">
      <c r="A66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5"/>
  </sheetPr>
  <dimension ref="A1:G66"/>
  <sheetViews>
    <sheetView zoomScale="75" zoomScaleNormal="75" workbookViewId="0" topLeftCell="A1">
      <selection activeCell="G59" sqref="G59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57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9.25" customHeight="1">
      <c r="A1" s="5" t="s">
        <v>213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214</v>
      </c>
      <c r="C2" s="7"/>
      <c r="D2" s="7"/>
      <c r="E2" s="7"/>
      <c r="F2" s="8" t="s">
        <v>3</v>
      </c>
      <c r="G2" s="9">
        <v>9</v>
      </c>
    </row>
    <row r="3" spans="1:7" ht="18.75">
      <c r="A3" s="6" t="s">
        <v>4</v>
      </c>
      <c r="B3" s="10">
        <v>1907.4</v>
      </c>
      <c r="F3" s="8" t="s">
        <v>5</v>
      </c>
      <c r="G3" s="11">
        <v>1</v>
      </c>
    </row>
    <row r="4" spans="1:7" ht="18.75">
      <c r="A4" s="12" t="s">
        <v>6</v>
      </c>
      <c r="B4" s="46">
        <v>12.21</v>
      </c>
      <c r="C4" s="1" t="s">
        <v>196</v>
      </c>
      <c r="F4" s="8" t="s">
        <v>8</v>
      </c>
      <c r="G4" s="9">
        <v>1991</v>
      </c>
    </row>
    <row r="5" spans="1:7" ht="18.75">
      <c r="A5" s="12" t="s">
        <v>6</v>
      </c>
      <c r="B5" s="46">
        <v>12.36</v>
      </c>
      <c r="C5" s="1" t="s">
        <v>197</v>
      </c>
      <c r="F5" s="8"/>
      <c r="G5" s="9"/>
    </row>
    <row r="6" spans="1:3" ht="18.75">
      <c r="A6" s="12" t="s">
        <v>6</v>
      </c>
      <c r="B6" s="46">
        <v>12.41</v>
      </c>
      <c r="C6" s="1" t="s">
        <v>81</v>
      </c>
    </row>
    <row r="7" spans="1:3" ht="18.75">
      <c r="A7" s="12" t="s">
        <v>6</v>
      </c>
      <c r="B7" s="46">
        <v>12.81</v>
      </c>
      <c r="C7" s="1" t="s">
        <v>198</v>
      </c>
    </row>
    <row r="8" spans="1:7" ht="19.5" hidden="1">
      <c r="A8" s="15" t="s">
        <v>12</v>
      </c>
      <c r="B8" s="16">
        <v>243.8</v>
      </c>
      <c r="C8" s="17"/>
      <c r="D8" s="17"/>
      <c r="E8" s="17"/>
      <c r="F8" s="17"/>
      <c r="G8" s="17"/>
    </row>
    <row r="9" spans="1:7" ht="19.5" hidden="1">
      <c r="A9" s="15" t="s">
        <v>13</v>
      </c>
      <c r="B9" s="18">
        <v>1</v>
      </c>
      <c r="C9" s="17" t="s">
        <v>82</v>
      </c>
      <c r="D9" s="17">
        <v>1</v>
      </c>
      <c r="E9" s="17"/>
      <c r="F9" s="17"/>
      <c r="G9" s="17"/>
    </row>
    <row r="10" spans="1:7" ht="35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9.5" hidden="1">
      <c r="A11" s="15"/>
      <c r="B11" s="18">
        <v>820</v>
      </c>
      <c r="C11" s="18">
        <v>615</v>
      </c>
      <c r="D11" s="18">
        <v>340</v>
      </c>
      <c r="E11" s="18">
        <v>1095</v>
      </c>
      <c r="F11" s="17"/>
      <c r="G11" s="17"/>
    </row>
    <row r="12" spans="1:7" ht="19.5" hidden="1">
      <c r="A12" s="15" t="s">
        <v>19</v>
      </c>
      <c r="B12" s="21">
        <v>0</v>
      </c>
      <c r="C12" s="17" t="s">
        <v>215</v>
      </c>
      <c r="D12" s="17"/>
      <c r="E12" s="17"/>
      <c r="F12" s="17"/>
      <c r="G12" s="17"/>
    </row>
    <row r="13" spans="1:7" ht="18.75" hidden="1">
      <c r="A13" s="15" t="s">
        <v>21</v>
      </c>
      <c r="B13" s="21">
        <v>230.3</v>
      </c>
      <c r="C13" s="21">
        <v>211.9</v>
      </c>
      <c r="D13" s="21">
        <f>B13+C13</f>
        <v>442.20000000000005</v>
      </c>
      <c r="E13" s="17"/>
      <c r="F13" s="17"/>
      <c r="G13" s="17"/>
    </row>
    <row r="14" spans="1:7" ht="48.75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36</v>
      </c>
      <c r="C15" s="25"/>
      <c r="D15" s="25">
        <v>36</v>
      </c>
      <c r="E15" s="26">
        <f>D15+C15+B15</f>
        <v>72</v>
      </c>
      <c r="F15" s="18"/>
      <c r="G15" s="17"/>
    </row>
    <row r="16" spans="1:7" ht="16.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6.5">
      <c r="A17" s="29" t="s">
        <v>30</v>
      </c>
      <c r="B17" s="29"/>
      <c r="C17" s="29"/>
      <c r="D17" s="29"/>
      <c r="E17" s="29"/>
      <c r="F17" s="29"/>
      <c r="G17" s="36">
        <f>B8*7.012*12</f>
        <v>20514.3072</v>
      </c>
    </row>
    <row r="18" spans="1:7" ht="16.5">
      <c r="A18" s="29" t="s">
        <v>31</v>
      </c>
      <c r="B18" s="29"/>
      <c r="C18" s="29"/>
      <c r="D18" s="29"/>
      <c r="E18" s="29"/>
      <c r="F18" s="29"/>
      <c r="G18" s="36">
        <f>B9*35.705*12</f>
        <v>428.46</v>
      </c>
    </row>
    <row r="19" spans="1:7" ht="17.25" customHeight="1" hidden="1">
      <c r="A19" s="29" t="s">
        <v>85</v>
      </c>
      <c r="B19" s="29"/>
      <c r="C19" s="29"/>
      <c r="D19" s="29"/>
      <c r="E19" s="29"/>
      <c r="F19" s="29"/>
      <c r="G19" s="36">
        <f>B12*0.3613*12</f>
        <v>0</v>
      </c>
    </row>
    <row r="20" spans="1:7" ht="16.5">
      <c r="A20" s="29" t="s">
        <v>33</v>
      </c>
      <c r="B20" s="29"/>
      <c r="C20" s="29"/>
      <c r="D20" s="29"/>
      <c r="E20" s="29"/>
      <c r="F20" s="29"/>
      <c r="G20" s="36">
        <f>(B11*9.46/100*189)+(C11*7.09/100*113)+(D11*23.66/100*71)+(E11*1.77/100*12)</f>
        <v>25532.405500000004</v>
      </c>
    </row>
    <row r="21" spans="1:7" ht="17.25" customHeight="1">
      <c r="A21" s="31" t="s">
        <v>34</v>
      </c>
      <c r="B21" s="31"/>
      <c r="C21" s="31"/>
      <c r="D21" s="31"/>
      <c r="E21" s="31"/>
      <c r="F21" s="31"/>
      <c r="G21" s="65">
        <f>(1014567.18*1.18+308700+213742)/244019.8*B3</f>
        <v>13441.633379650995</v>
      </c>
    </row>
    <row r="22" spans="1:7" ht="16.5">
      <c r="A22" s="29" t="s">
        <v>35</v>
      </c>
      <c r="B22" s="29"/>
      <c r="C22" s="29"/>
      <c r="D22" s="29"/>
      <c r="E22" s="29"/>
      <c r="F22" s="29"/>
      <c r="G22" s="36">
        <f>D13*0.135*6</f>
        <v>358.1820000000001</v>
      </c>
    </row>
    <row r="23" spans="1:7" ht="16.5">
      <c r="A23" s="29" t="s">
        <v>36</v>
      </c>
      <c r="B23" s="29"/>
      <c r="C23" s="29"/>
      <c r="D23" s="29"/>
      <c r="E23" s="29"/>
      <c r="F23" s="29"/>
      <c r="G23" s="36">
        <f>97.41+51.75+66.97+91.32+383.55</f>
        <v>691</v>
      </c>
    </row>
    <row r="24" spans="1:7" ht="16.5">
      <c r="A24" s="29" t="s">
        <v>37</v>
      </c>
      <c r="B24" s="29"/>
      <c r="C24" s="29"/>
      <c r="D24" s="29"/>
      <c r="E24" s="29"/>
      <c r="F24" s="29"/>
      <c r="G24" s="36">
        <f>B3*0.885*12</f>
        <v>20256.588000000003</v>
      </c>
    </row>
    <row r="25" spans="1:7" ht="16.5">
      <c r="A25" s="29" t="s">
        <v>87</v>
      </c>
      <c r="B25" s="29"/>
      <c r="C25" s="29"/>
      <c r="D25" s="29"/>
      <c r="E25" s="29"/>
      <c r="F25" s="29"/>
      <c r="G25" s="36">
        <f>B3*2.245*6+B3*2.648*6</f>
        <v>55997.4492</v>
      </c>
    </row>
    <row r="26" spans="1:7" ht="16.5" hidden="1">
      <c r="A26" s="29" t="s">
        <v>39</v>
      </c>
      <c r="B26" s="29"/>
      <c r="C26" s="29"/>
      <c r="D26" s="29"/>
      <c r="E26" s="29"/>
      <c r="F26" s="29"/>
      <c r="G26" s="36">
        <v>0</v>
      </c>
    </row>
    <row r="27" spans="1:7" ht="16.5" hidden="1">
      <c r="A27" s="29" t="s">
        <v>40</v>
      </c>
      <c r="B27" s="29"/>
      <c r="C27" s="29"/>
      <c r="D27" s="29"/>
      <c r="E27" s="29"/>
      <c r="F27" s="29"/>
      <c r="G27" s="36">
        <f>1*0</f>
        <v>0</v>
      </c>
    </row>
    <row r="28" spans="1:7" ht="16.5">
      <c r="A28" s="29" t="s">
        <v>41</v>
      </c>
      <c r="B28" s="29"/>
      <c r="C28" s="29"/>
      <c r="D28" s="29"/>
      <c r="E28" s="29"/>
      <c r="F28" s="29"/>
      <c r="G28" s="36">
        <f>4224+3017.52+539.12</f>
        <v>7780.64</v>
      </c>
    </row>
    <row r="29" spans="1:7" ht="17.25" hidden="1">
      <c r="A29" s="29" t="s">
        <v>42</v>
      </c>
      <c r="B29" s="29"/>
      <c r="C29" s="29"/>
      <c r="D29" s="29"/>
      <c r="E29" s="29"/>
      <c r="F29" s="29"/>
      <c r="G29" s="36">
        <v>0</v>
      </c>
    </row>
    <row r="30" spans="1:7" ht="16.5" hidden="1">
      <c r="A30" s="29" t="s">
        <v>43</v>
      </c>
      <c r="B30" s="29"/>
      <c r="C30" s="29"/>
      <c r="D30" s="29"/>
      <c r="E30" s="29"/>
      <c r="F30" s="29"/>
      <c r="G30" s="36">
        <v>0</v>
      </c>
    </row>
    <row r="31" spans="1:7" ht="17.25" customHeight="1" hidden="1">
      <c r="A31" s="29" t="s">
        <v>44</v>
      </c>
      <c r="B31" s="29"/>
      <c r="C31" s="29"/>
      <c r="D31" s="29"/>
      <c r="E31" s="29"/>
      <c r="F31" s="29"/>
      <c r="G31" s="36">
        <v>0</v>
      </c>
    </row>
    <row r="32" spans="1:7" ht="16.5">
      <c r="A32" s="29" t="s">
        <v>45</v>
      </c>
      <c r="B32" s="29"/>
      <c r="C32" s="29"/>
      <c r="D32" s="29"/>
      <c r="E32" s="29"/>
      <c r="F32" s="29"/>
      <c r="G32" s="36">
        <f>B3*1.81*6+B3*1.86*6</f>
        <v>42000.948000000004</v>
      </c>
    </row>
    <row r="33" spans="1:7" ht="17.25" customHeight="1">
      <c r="A33" s="31" t="s">
        <v>46</v>
      </c>
      <c r="B33" s="31"/>
      <c r="C33" s="31"/>
      <c r="D33" s="31"/>
      <c r="E33" s="31"/>
      <c r="F33" s="31"/>
      <c r="G33" s="36">
        <f>(F15*4*8.57)+(B15*2*3.14)+(C15*1*3.14)+(D15*1*3.14)</f>
        <v>339.12</v>
      </c>
    </row>
    <row r="34" spans="1:7" ht="16.5">
      <c r="A34" s="29" t="s">
        <v>47</v>
      </c>
      <c r="B34" s="29"/>
      <c r="C34" s="29"/>
      <c r="D34" s="29"/>
      <c r="E34" s="29"/>
      <c r="F34" s="29"/>
      <c r="G34" s="36">
        <f>B3*0.65*12</f>
        <v>14877.720000000001</v>
      </c>
    </row>
    <row r="35" spans="1:7" ht="16.5">
      <c r="A35" s="29" t="s">
        <v>48</v>
      </c>
      <c r="B35" s="29"/>
      <c r="C35" s="29"/>
      <c r="D35" s="29"/>
      <c r="E35" s="29"/>
      <c r="F35" s="29"/>
      <c r="G35" s="36">
        <f>B3*0.82*12</f>
        <v>18768.816000000003</v>
      </c>
    </row>
    <row r="36" spans="1:7" ht="16.5" customHeight="1">
      <c r="A36" s="29" t="s">
        <v>49</v>
      </c>
      <c r="B36" s="29"/>
      <c r="C36" s="29"/>
      <c r="D36" s="29"/>
      <c r="E36" s="29"/>
      <c r="F36" s="29"/>
      <c r="G36" s="36">
        <f>B3*0.9*12</f>
        <v>20599.920000000002</v>
      </c>
    </row>
    <row r="37" spans="1:7" ht="16.5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241587.189279651</v>
      </c>
    </row>
    <row r="38" spans="1:7" ht="17.2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6.5" hidden="1">
      <c r="A39" s="29" t="s">
        <v>52</v>
      </c>
      <c r="B39" s="29"/>
      <c r="C39" s="29"/>
      <c r="D39" s="29"/>
      <c r="E39" s="29"/>
      <c r="F39" s="29"/>
      <c r="G39" s="36">
        <f>B3*2.96*12</f>
        <v>67750.848</v>
      </c>
    </row>
    <row r="40" spans="1:7" ht="16.5">
      <c r="A40" s="29" t="s">
        <v>53</v>
      </c>
      <c r="B40" s="29"/>
      <c r="C40" s="29"/>
      <c r="D40" s="29"/>
      <c r="E40" s="29"/>
      <c r="F40" s="29"/>
      <c r="G40" s="36"/>
    </row>
    <row r="41" spans="1:7" ht="16.5">
      <c r="A41" s="37" t="s">
        <v>216</v>
      </c>
      <c r="B41" s="37"/>
      <c r="C41" s="37"/>
      <c r="D41" s="37"/>
      <c r="E41" s="37"/>
      <c r="F41" s="37"/>
      <c r="G41" s="36">
        <v>2609.52</v>
      </c>
    </row>
    <row r="42" spans="1:7" ht="16.5">
      <c r="A42" s="37" t="s">
        <v>55</v>
      </c>
      <c r="B42" s="37"/>
      <c r="C42" s="37"/>
      <c r="D42" s="37"/>
      <c r="E42" s="37"/>
      <c r="F42" s="37"/>
      <c r="G42" s="36"/>
    </row>
    <row r="43" spans="1:7" ht="16.5" hidden="1">
      <c r="A43" s="37" t="s">
        <v>56</v>
      </c>
      <c r="B43" s="37"/>
      <c r="C43" s="37"/>
      <c r="D43" s="37"/>
      <c r="E43" s="37"/>
      <c r="F43" s="37"/>
      <c r="G43" s="36"/>
    </row>
    <row r="44" spans="1:7" ht="16.5" hidden="1">
      <c r="A44" s="37" t="s">
        <v>57</v>
      </c>
      <c r="B44" s="37"/>
      <c r="C44" s="37"/>
      <c r="D44" s="37"/>
      <c r="E44" s="37"/>
      <c r="F44" s="37"/>
      <c r="G44" s="36"/>
    </row>
    <row r="45" spans="1:7" ht="16.5" hidden="1">
      <c r="A45" s="37" t="s">
        <v>58</v>
      </c>
      <c r="B45" s="37"/>
      <c r="C45" s="37"/>
      <c r="D45" s="37"/>
      <c r="E45" s="37"/>
      <c r="F45" s="37"/>
      <c r="G45" s="36"/>
    </row>
    <row r="46" spans="1:7" ht="16.5">
      <c r="A46" s="37" t="s">
        <v>59</v>
      </c>
      <c r="B46" s="37"/>
      <c r="C46" s="37"/>
      <c r="D46" s="37"/>
      <c r="E46" s="37"/>
      <c r="F46" s="37"/>
      <c r="G46" s="36">
        <v>3212.01</v>
      </c>
    </row>
    <row r="47" spans="1:7" ht="16.5">
      <c r="A47" s="37" t="s">
        <v>60</v>
      </c>
      <c r="B47" s="37"/>
      <c r="C47" s="37"/>
      <c r="D47" s="37"/>
      <c r="E47" s="37"/>
      <c r="F47" s="37"/>
      <c r="G47" s="36">
        <f>42.09+23046.78</f>
        <v>23088.87</v>
      </c>
    </row>
    <row r="48" spans="1:7" ht="16.5">
      <c r="A48" s="37" t="s">
        <v>61</v>
      </c>
      <c r="B48" s="37"/>
      <c r="C48" s="37"/>
      <c r="D48" s="37"/>
      <c r="E48" s="37"/>
      <c r="F48" s="37"/>
      <c r="G48" s="36">
        <f>2520.06+1680.04+1680.04</f>
        <v>5880.14</v>
      </c>
    </row>
    <row r="49" spans="1:7" ht="16.5" hidden="1">
      <c r="A49" s="37" t="s">
        <v>62</v>
      </c>
      <c r="B49" s="37"/>
      <c r="C49" s="37"/>
      <c r="D49" s="37"/>
      <c r="E49" s="37"/>
      <c r="F49" s="37"/>
      <c r="G49" s="36"/>
    </row>
    <row r="50" spans="1:7" ht="16.5" hidden="1">
      <c r="A50" s="37" t="s">
        <v>63</v>
      </c>
      <c r="B50" s="37"/>
      <c r="C50" s="37"/>
      <c r="D50" s="37"/>
      <c r="E50" s="37"/>
      <c r="F50" s="37"/>
      <c r="G50" s="36"/>
    </row>
    <row r="51" spans="1:7" ht="16.5" hidden="1">
      <c r="A51" s="37" t="s">
        <v>64</v>
      </c>
      <c r="B51" s="37"/>
      <c r="C51" s="37"/>
      <c r="D51" s="37"/>
      <c r="E51" s="37"/>
      <c r="F51" s="37"/>
      <c r="G51" s="36"/>
    </row>
    <row r="52" spans="1:7" ht="16.5">
      <c r="A52" s="37" t="s">
        <v>65</v>
      </c>
      <c r="B52" s="37"/>
      <c r="C52" s="37"/>
      <c r="D52" s="37"/>
      <c r="E52" s="37"/>
      <c r="F52" s="37"/>
      <c r="G52" s="36">
        <v>19620.96</v>
      </c>
    </row>
    <row r="53" spans="1:7" ht="17.2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7.25" customHeight="1" hidden="1">
      <c r="A54" s="37" t="s">
        <v>176</v>
      </c>
      <c r="B54" s="37"/>
      <c r="C54" s="37"/>
      <c r="D54" s="37"/>
      <c r="E54" s="37"/>
      <c r="F54" s="37"/>
      <c r="G54" s="36"/>
    </row>
    <row r="55" spans="1:7" ht="18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54411.5</v>
      </c>
    </row>
    <row r="56" spans="1:7" ht="17.25" customHeight="1">
      <c r="A56" s="38" t="s">
        <v>69</v>
      </c>
      <c r="B56" s="38"/>
      <c r="C56" s="38"/>
      <c r="D56" s="38"/>
      <c r="E56" s="38"/>
      <c r="F56" s="38"/>
      <c r="G56" s="39">
        <f>G37+G55</f>
        <v>295998.68927965104</v>
      </c>
    </row>
    <row r="57" spans="1:7" ht="16.5">
      <c r="A57" s="29" t="s">
        <v>70</v>
      </c>
      <c r="B57" s="29"/>
      <c r="C57" s="29"/>
      <c r="D57" s="29"/>
      <c r="E57" s="29"/>
      <c r="F57" s="29"/>
      <c r="G57" s="36">
        <f>-927.28-1095.9-174.22</f>
        <v>-2197.4</v>
      </c>
    </row>
    <row r="58" spans="1:7" ht="17.25" customHeight="1">
      <c r="A58" s="40" t="s">
        <v>147</v>
      </c>
      <c r="B58" s="40"/>
      <c r="C58" s="40"/>
      <c r="D58" s="40"/>
      <c r="E58" s="40"/>
      <c r="F58" s="40"/>
      <c r="G58" s="39">
        <f>B3*B4*4+B3*B5*2+B3*B6*5+B3*B7*1+G59</f>
        <v>292530.70800000004</v>
      </c>
    </row>
    <row r="59" spans="1:7" ht="16.5">
      <c r="A59" s="41" t="s">
        <v>144</v>
      </c>
      <c r="B59" s="41"/>
      <c r="C59" s="41"/>
      <c r="D59" s="41"/>
      <c r="E59" s="41"/>
      <c r="F59" s="41"/>
      <c r="G59" s="36">
        <f>1*141.6*12+1*269*12+1*160*12+1*215.6*12</f>
        <v>9434.4</v>
      </c>
    </row>
    <row r="60" spans="1:7" ht="16.5">
      <c r="A60" s="42" t="s">
        <v>73</v>
      </c>
      <c r="B60" s="42"/>
      <c r="C60" s="42"/>
      <c r="D60" s="42"/>
      <c r="E60" s="42"/>
      <c r="F60" s="42"/>
      <c r="G60" s="43">
        <v>11428.87</v>
      </c>
    </row>
    <row r="61" spans="1:7" ht="53.25" customHeight="1">
      <c r="A61" s="44" t="s">
        <v>110</v>
      </c>
      <c r="B61" s="44"/>
      <c r="C61" s="44"/>
      <c r="D61" s="44"/>
      <c r="E61" s="44"/>
      <c r="F61" s="44"/>
      <c r="G61" s="45">
        <f>G56-G58+G60-G57</f>
        <v>17094.251279650995</v>
      </c>
    </row>
    <row r="62" ht="16.5"/>
    <row r="63" ht="16.5"/>
    <row r="66" ht="16.5">
      <c r="A66" s="1" t="s">
        <v>75</v>
      </c>
    </row>
    <row r="68" ht="16.5"/>
    <row r="70" ht="16.5"/>
    <row r="71" ht="16.5"/>
    <row r="72" ht="16.5"/>
    <row r="73" ht="16.5"/>
    <row r="74" ht="16.5"/>
    <row r="75" ht="16.5"/>
    <row r="76" ht="16.5"/>
    <row r="77" ht="16.5"/>
    <row r="80" ht="16.5"/>
    <row r="83" ht="16.5"/>
    <row r="84" ht="16.5"/>
    <row r="86" ht="16.5"/>
    <row r="87" ht="16.5"/>
    <row r="88" ht="16.5"/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.3076388888888889" bottom="0" header="0.5118055555555555" footer="0.5118055555555555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6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6.71093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3.25" customHeight="1">
      <c r="A1" s="5" t="s">
        <v>91</v>
      </c>
      <c r="B1" s="5"/>
      <c r="C1" s="5"/>
      <c r="D1" s="5"/>
      <c r="E1" s="5"/>
      <c r="F1" s="5"/>
      <c r="G1" s="5"/>
    </row>
    <row r="2" spans="1:7" ht="19.5">
      <c r="A2" s="6" t="s">
        <v>1</v>
      </c>
      <c r="B2" s="7" t="s">
        <v>106</v>
      </c>
      <c r="C2" s="7"/>
      <c r="D2" s="7"/>
      <c r="E2" s="7"/>
      <c r="F2" s="8" t="s">
        <v>3</v>
      </c>
      <c r="G2" s="9">
        <v>5</v>
      </c>
    </row>
    <row r="3" spans="1:7" ht="19.5">
      <c r="A3" s="6" t="s">
        <v>4</v>
      </c>
      <c r="B3" s="10">
        <v>2691.5</v>
      </c>
      <c r="F3" s="8" t="s">
        <v>5</v>
      </c>
      <c r="G3" s="11">
        <v>4</v>
      </c>
    </row>
    <row r="4" spans="1:7" ht="18.75">
      <c r="A4" s="12" t="s">
        <v>6</v>
      </c>
      <c r="B4" s="46">
        <v>11.39</v>
      </c>
      <c r="C4" s="1" t="s">
        <v>93</v>
      </c>
      <c r="F4" s="8" t="s">
        <v>8</v>
      </c>
      <c r="G4" s="9">
        <v>1972</v>
      </c>
    </row>
    <row r="5" spans="1:7" ht="18.75">
      <c r="A5" s="12" t="s">
        <v>6</v>
      </c>
      <c r="B5" s="46">
        <v>11.54</v>
      </c>
      <c r="C5" s="1" t="s">
        <v>94</v>
      </c>
      <c r="F5" s="8"/>
      <c r="G5" s="9"/>
    </row>
    <row r="6" spans="1:7" ht="18.75">
      <c r="A6" s="12" t="s">
        <v>6</v>
      </c>
      <c r="B6" s="46">
        <v>11.59</v>
      </c>
      <c r="C6" s="1" t="s">
        <v>10</v>
      </c>
      <c r="F6" s="8"/>
      <c r="G6" s="9"/>
    </row>
    <row r="7" spans="1:3" ht="18.75">
      <c r="A7" s="12" t="s">
        <v>6</v>
      </c>
      <c r="B7" s="46">
        <v>12.14</v>
      </c>
      <c r="C7" s="1" t="s">
        <v>95</v>
      </c>
    </row>
    <row r="8" spans="1:7" ht="18" hidden="1">
      <c r="A8" s="15" t="s">
        <v>12</v>
      </c>
      <c r="B8" s="16">
        <v>332</v>
      </c>
      <c r="C8" s="17"/>
      <c r="D8" s="17"/>
      <c r="E8" s="17"/>
      <c r="F8" s="17"/>
      <c r="G8" s="17"/>
    </row>
    <row r="9" spans="1:7" ht="18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33.7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9.5" hidden="1">
      <c r="A11" s="15"/>
      <c r="B11" s="18">
        <v>800</v>
      </c>
      <c r="C11" s="18">
        <v>2260</v>
      </c>
      <c r="D11" s="18">
        <v>700</v>
      </c>
      <c r="E11" s="18">
        <v>2360</v>
      </c>
      <c r="F11" s="17"/>
      <c r="G11" s="17"/>
    </row>
    <row r="12" spans="1:7" ht="19.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" hidden="1">
      <c r="A13" s="15" t="s">
        <v>21</v>
      </c>
      <c r="B13" s="21">
        <v>394.5</v>
      </c>
      <c r="C13" s="21">
        <v>538.3</v>
      </c>
      <c r="D13" s="21">
        <f>B13+C13</f>
        <v>932.8</v>
      </c>
      <c r="E13" s="17"/>
      <c r="F13" s="17"/>
      <c r="G13" s="17"/>
    </row>
    <row r="14" spans="1:7" ht="45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9.5" hidden="1">
      <c r="A15" s="24"/>
      <c r="B15" s="25">
        <v>62</v>
      </c>
      <c r="C15" s="25"/>
      <c r="D15" s="25">
        <v>62</v>
      </c>
      <c r="E15" s="26">
        <f>D15+C15+B15</f>
        <v>124</v>
      </c>
      <c r="F15" s="18"/>
      <c r="G15" s="17"/>
    </row>
    <row r="16" spans="1:7" ht="17.2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7.25">
      <c r="A17" s="29" t="s">
        <v>30</v>
      </c>
      <c r="B17" s="29"/>
      <c r="C17" s="29"/>
      <c r="D17" s="29"/>
      <c r="E17" s="29"/>
      <c r="F17" s="29"/>
      <c r="G17" s="36">
        <f>B8*8.689*12</f>
        <v>34616.976</v>
      </c>
    </row>
    <row r="18" spans="1:7" ht="17.25" hidden="1">
      <c r="A18" s="29" t="s">
        <v>31</v>
      </c>
      <c r="B18" s="29"/>
      <c r="C18" s="29"/>
      <c r="D18" s="29"/>
      <c r="E18" s="29"/>
      <c r="F18" s="29"/>
      <c r="G18" s="36">
        <f>B9*35.705*12</f>
        <v>0</v>
      </c>
    </row>
    <row r="19" spans="1:7" ht="17.25" customHeight="1" hidden="1">
      <c r="A19" s="29" t="s">
        <v>85</v>
      </c>
      <c r="B19" s="29"/>
      <c r="C19" s="29"/>
      <c r="D19" s="29"/>
      <c r="E19" s="29"/>
      <c r="F19" s="29"/>
      <c r="G19" s="36">
        <f>B12*0.3613*12</f>
        <v>0</v>
      </c>
    </row>
    <row r="20" spans="1:7" ht="17.25">
      <c r="A20" s="29" t="s">
        <v>33</v>
      </c>
      <c r="B20" s="29"/>
      <c r="C20" s="29"/>
      <c r="D20" s="29"/>
      <c r="E20" s="29"/>
      <c r="F20" s="29"/>
      <c r="G20" s="36">
        <f>(B11*12.84/100*189)+(C11*9.63/100*113)+(D11*32.11/100*71)+(E11*2.41/100*12)</f>
        <v>60648.356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18967.263250705888</v>
      </c>
    </row>
    <row r="22" spans="1:7" ht="17.25">
      <c r="A22" s="29" t="s">
        <v>35</v>
      </c>
      <c r="B22" s="29"/>
      <c r="C22" s="29"/>
      <c r="D22" s="29"/>
      <c r="E22" s="29"/>
      <c r="F22" s="29"/>
      <c r="G22" s="36">
        <f>D13*0.135*6</f>
        <v>755.568</v>
      </c>
    </row>
    <row r="23" spans="1:7" ht="17.25">
      <c r="A23" s="29" t="s">
        <v>36</v>
      </c>
      <c r="B23" s="29"/>
      <c r="C23" s="29"/>
      <c r="D23" s="29"/>
      <c r="E23" s="29"/>
      <c r="F23" s="29"/>
      <c r="G23" s="36">
        <f>114.94+3663.9+732.78+316.1+3965.51</f>
        <v>8793.23</v>
      </c>
    </row>
    <row r="24" spans="1:7" ht="17.25">
      <c r="A24" s="29" t="s">
        <v>37</v>
      </c>
      <c r="B24" s="29"/>
      <c r="C24" s="29"/>
      <c r="D24" s="29"/>
      <c r="E24" s="29"/>
      <c r="F24" s="29"/>
      <c r="G24" s="36">
        <f>B3*0.885*12</f>
        <v>28583.73</v>
      </c>
    </row>
    <row r="25" spans="1:7" ht="17.25" hidden="1">
      <c r="A25" s="29" t="s">
        <v>38</v>
      </c>
      <c r="B25" s="29"/>
      <c r="C25" s="29"/>
      <c r="D25" s="29"/>
      <c r="E25" s="29"/>
      <c r="F25" s="29"/>
      <c r="G25" s="36">
        <v>0</v>
      </c>
    </row>
    <row r="26" spans="1:7" ht="17.25" hidden="1">
      <c r="A26" s="29" t="s">
        <v>39</v>
      </c>
      <c r="B26" s="29"/>
      <c r="C26" s="29"/>
      <c r="D26" s="29"/>
      <c r="E26" s="29"/>
      <c r="F26" s="29"/>
      <c r="G26" s="36">
        <v>0</v>
      </c>
    </row>
    <row r="27" spans="1:7" ht="17.25" hidden="1">
      <c r="A27" s="29" t="s">
        <v>40</v>
      </c>
      <c r="B27" s="29"/>
      <c r="C27" s="29"/>
      <c r="D27" s="29"/>
      <c r="E27" s="29"/>
      <c r="F27" s="29"/>
      <c r="G27" s="36">
        <v>0</v>
      </c>
    </row>
    <row r="28" spans="1:7" ht="17.25">
      <c r="A28" s="29" t="s">
        <v>41</v>
      </c>
      <c r="B28" s="29"/>
      <c r="C28" s="29"/>
      <c r="D28" s="29"/>
      <c r="E28" s="29"/>
      <c r="F28" s="29"/>
      <c r="G28" s="36">
        <f>4224+3017.52+269.56</f>
        <v>7511.080000000001</v>
      </c>
    </row>
    <row r="29" spans="1:7" ht="17.25" hidden="1">
      <c r="A29" s="29" t="s">
        <v>42</v>
      </c>
      <c r="B29" s="29"/>
      <c r="C29" s="29"/>
      <c r="D29" s="29"/>
      <c r="E29" s="29"/>
      <c r="F29" s="29"/>
      <c r="G29" s="36">
        <v>0</v>
      </c>
    </row>
    <row r="30" spans="1:7" ht="17.25" hidden="1">
      <c r="A30" s="29" t="s">
        <v>43</v>
      </c>
      <c r="B30" s="29"/>
      <c r="C30" s="29"/>
      <c r="D30" s="29"/>
      <c r="E30" s="29"/>
      <c r="F30" s="29"/>
      <c r="G30" s="36">
        <v>0</v>
      </c>
    </row>
    <row r="31" spans="1:7" ht="17.25" customHeight="1" hidden="1">
      <c r="A31" s="29" t="s">
        <v>44</v>
      </c>
      <c r="B31" s="29"/>
      <c r="C31" s="29"/>
      <c r="D31" s="29"/>
      <c r="E31" s="29"/>
      <c r="F31" s="29"/>
      <c r="G31" s="36">
        <v>0</v>
      </c>
    </row>
    <row r="32" spans="1:7" ht="17.25">
      <c r="A32" s="29" t="s">
        <v>45</v>
      </c>
      <c r="B32" s="29"/>
      <c r="C32" s="29"/>
      <c r="D32" s="29"/>
      <c r="E32" s="29"/>
      <c r="F32" s="29"/>
      <c r="G32" s="36">
        <f>B3*1.81*6+B3*1.86*6</f>
        <v>59266.83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6">
        <f>(F15*4*8.57)+(B15*2*3.14)+(C15*1*3.14)+(D15*1*3.14)</f>
        <v>584.04</v>
      </c>
    </row>
    <row r="34" spans="1:7" ht="17.25">
      <c r="A34" s="29" t="s">
        <v>47</v>
      </c>
      <c r="B34" s="29"/>
      <c r="C34" s="29"/>
      <c r="D34" s="29"/>
      <c r="E34" s="29"/>
      <c r="F34" s="29"/>
      <c r="G34" s="36">
        <f>B3*0.65*12</f>
        <v>20993.7</v>
      </c>
    </row>
    <row r="35" spans="1:7" ht="17.25">
      <c r="A35" s="29" t="s">
        <v>48</v>
      </c>
      <c r="B35" s="29"/>
      <c r="C35" s="29"/>
      <c r="D35" s="29"/>
      <c r="E35" s="29"/>
      <c r="F35" s="29"/>
      <c r="G35" s="36">
        <f>B3*0.82*12</f>
        <v>26484.36</v>
      </c>
    </row>
    <row r="36" spans="1:7" ht="17.25" customHeight="1">
      <c r="A36" s="29" t="s">
        <v>49</v>
      </c>
      <c r="B36" s="29"/>
      <c r="C36" s="29"/>
      <c r="D36" s="29"/>
      <c r="E36" s="29"/>
      <c r="F36" s="29"/>
      <c r="G36" s="36">
        <f>B3*0.9*12</f>
        <v>29068.199999999997</v>
      </c>
    </row>
    <row r="37" spans="1:7" ht="17.25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296273.3332507059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7.25" hidden="1">
      <c r="A39" s="29" t="s">
        <v>52</v>
      </c>
      <c r="B39" s="29"/>
      <c r="C39" s="29"/>
      <c r="D39" s="29"/>
      <c r="E39" s="29"/>
      <c r="F39" s="29"/>
      <c r="G39" s="36">
        <f>B3*2.96*12</f>
        <v>95602.08</v>
      </c>
    </row>
    <row r="40" spans="1:7" ht="17.25">
      <c r="A40" s="29" t="s">
        <v>53</v>
      </c>
      <c r="B40" s="29"/>
      <c r="C40" s="29"/>
      <c r="D40" s="29"/>
      <c r="E40" s="29"/>
      <c r="F40" s="29"/>
      <c r="G40" s="36"/>
    </row>
    <row r="41" spans="1:7" ht="17.25">
      <c r="A41" s="37" t="s">
        <v>54</v>
      </c>
      <c r="B41" s="37"/>
      <c r="C41" s="37"/>
      <c r="D41" s="37"/>
      <c r="E41" s="37"/>
      <c r="F41" s="37"/>
      <c r="G41" s="36"/>
    </row>
    <row r="42" spans="1:7" ht="16.5" hidden="1">
      <c r="A42" s="37" t="s">
        <v>55</v>
      </c>
      <c r="B42" s="37"/>
      <c r="C42" s="37"/>
      <c r="D42" s="37"/>
      <c r="E42" s="37"/>
      <c r="F42" s="37"/>
      <c r="G42" s="36"/>
    </row>
    <row r="43" spans="1:7" ht="16.5" hidden="1">
      <c r="A43" s="37" t="s">
        <v>56</v>
      </c>
      <c r="B43" s="37"/>
      <c r="C43" s="37"/>
      <c r="D43" s="37"/>
      <c r="E43" s="37"/>
      <c r="F43" s="37"/>
      <c r="G43" s="36"/>
    </row>
    <row r="44" spans="1:7" ht="16.5" hidden="1">
      <c r="A44" s="37" t="s">
        <v>57</v>
      </c>
      <c r="B44" s="37"/>
      <c r="C44" s="37"/>
      <c r="D44" s="37"/>
      <c r="E44" s="37"/>
      <c r="F44" s="37"/>
      <c r="G44" s="36"/>
    </row>
    <row r="45" spans="1:7" ht="16.5" hidden="1">
      <c r="A45" s="37" t="s">
        <v>58</v>
      </c>
      <c r="B45" s="37"/>
      <c r="C45" s="37"/>
      <c r="D45" s="37"/>
      <c r="E45" s="37"/>
      <c r="F45" s="37"/>
      <c r="G45" s="36"/>
    </row>
    <row r="46" spans="1:7" ht="16.5" hidden="1">
      <c r="A46" s="37" t="s">
        <v>59</v>
      </c>
      <c r="B46" s="37"/>
      <c r="C46" s="37"/>
      <c r="D46" s="37"/>
      <c r="E46" s="37"/>
      <c r="F46" s="37"/>
      <c r="G46" s="36"/>
    </row>
    <row r="47" spans="1:7" ht="16.5">
      <c r="A47" s="37" t="s">
        <v>60</v>
      </c>
      <c r="B47" s="37"/>
      <c r="C47" s="37"/>
      <c r="D47" s="37"/>
      <c r="E47" s="37"/>
      <c r="F47" s="37"/>
      <c r="G47" s="36">
        <v>773.81</v>
      </c>
    </row>
    <row r="48" spans="1:7" ht="16.5">
      <c r="A48" s="37" t="s">
        <v>61</v>
      </c>
      <c r="B48" s="37"/>
      <c r="C48" s="37"/>
      <c r="D48" s="37"/>
      <c r="E48" s="37"/>
      <c r="F48" s="37"/>
      <c r="G48" s="36">
        <v>2520.06</v>
      </c>
    </row>
    <row r="49" spans="1:7" ht="16.5">
      <c r="A49" s="37" t="s">
        <v>62</v>
      </c>
      <c r="B49" s="37"/>
      <c r="C49" s="37"/>
      <c r="D49" s="37"/>
      <c r="E49" s="37"/>
      <c r="F49" s="37"/>
      <c r="G49" s="36">
        <v>1654.49</v>
      </c>
    </row>
    <row r="50" spans="1:7" ht="16.5" hidden="1">
      <c r="A50" s="37" t="s">
        <v>104</v>
      </c>
      <c r="B50" s="37"/>
      <c r="C50" s="37"/>
      <c r="D50" s="37"/>
      <c r="E50" s="37"/>
      <c r="F50" s="37"/>
      <c r="G50" s="36"/>
    </row>
    <row r="51" spans="1:7" ht="16.5" hidden="1">
      <c r="A51" s="37" t="s">
        <v>64</v>
      </c>
      <c r="B51" s="37"/>
      <c r="C51" s="37"/>
      <c r="D51" s="37"/>
      <c r="E51" s="37"/>
      <c r="F51" s="37"/>
      <c r="G51" s="36"/>
    </row>
    <row r="52" spans="1:7" ht="17.25">
      <c r="A52" s="37" t="s">
        <v>65</v>
      </c>
      <c r="B52" s="37"/>
      <c r="C52" s="37"/>
      <c r="D52" s="37"/>
      <c r="E52" s="37"/>
      <c r="F52" s="37"/>
      <c r="G52" s="36">
        <v>19815.88</v>
      </c>
    </row>
    <row r="53" spans="1:7" ht="17.2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7.2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24764.24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321037.5732507059</v>
      </c>
    </row>
    <row r="57" spans="1:7" ht="17.25">
      <c r="A57" s="29" t="s">
        <v>70</v>
      </c>
      <c r="B57" s="29"/>
      <c r="C57" s="29"/>
      <c r="D57" s="29"/>
      <c r="E57" s="29"/>
      <c r="F57" s="29"/>
      <c r="G57" s="36">
        <f>-360.85</f>
        <v>-360.85</v>
      </c>
    </row>
    <row r="58" spans="1:7" ht="17.25" customHeight="1">
      <c r="A58" s="40" t="s">
        <v>100</v>
      </c>
      <c r="B58" s="40"/>
      <c r="C58" s="40"/>
      <c r="D58" s="40"/>
      <c r="E58" s="40"/>
      <c r="F58" s="40"/>
      <c r="G58" s="39">
        <f>B3*B4*4+B3*B5*2+B3*B6*5+B3*B7*1+G59</f>
        <v>384986.195</v>
      </c>
    </row>
    <row r="59" spans="1:7" ht="16.5">
      <c r="A59" s="41" t="s">
        <v>89</v>
      </c>
      <c r="B59" s="41"/>
      <c r="C59" s="41"/>
      <c r="D59" s="41"/>
      <c r="E59" s="41"/>
      <c r="F59" s="41"/>
      <c r="G59" s="34">
        <f>160*1*12+180*1*12+141.6*1*12+215.6*1*12+269*1*12</f>
        <v>11594.4</v>
      </c>
    </row>
    <row r="60" spans="1:7" ht="19.5" customHeight="1">
      <c r="A60" s="42" t="s">
        <v>73</v>
      </c>
      <c r="B60" s="42"/>
      <c r="C60" s="42"/>
      <c r="D60" s="42"/>
      <c r="E60" s="42"/>
      <c r="F60" s="42"/>
      <c r="G60" s="43">
        <v>43595.53</v>
      </c>
    </row>
    <row r="61" spans="1:7" ht="58.5" customHeight="1">
      <c r="A61" s="44" t="s">
        <v>107</v>
      </c>
      <c r="B61" s="44"/>
      <c r="C61" s="44"/>
      <c r="D61" s="44"/>
      <c r="E61" s="44"/>
      <c r="F61" s="44"/>
      <c r="G61" s="45">
        <f>G56-G58+G60-G57</f>
        <v>-19992.24174929411</v>
      </c>
    </row>
    <row r="64" ht="17.25">
      <c r="A64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19652777777777777" right="0" top="0" bottom="0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5"/>
  </sheetPr>
  <dimension ref="A1:G64"/>
  <sheetViews>
    <sheetView zoomScale="75" zoomScaleNormal="75" workbookViewId="0" topLeftCell="A1">
      <selection activeCell="G58" sqref="G58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4" width="9.140625" style="1" customWidth="1"/>
    <col min="5" max="5" width="8.00390625" style="1" customWidth="1"/>
    <col min="6" max="6" width="21.421875" style="1" customWidth="1"/>
    <col min="7" max="7" width="15.2812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47.25" customHeight="1">
      <c r="A1" s="5" t="s">
        <v>213</v>
      </c>
      <c r="B1" s="5"/>
      <c r="C1" s="5"/>
      <c r="D1" s="5"/>
      <c r="E1" s="5"/>
      <c r="F1" s="5"/>
      <c r="G1" s="5"/>
    </row>
    <row r="2" spans="1:7" ht="19.5">
      <c r="A2" s="6" t="s">
        <v>1</v>
      </c>
      <c r="B2" s="7" t="s">
        <v>217</v>
      </c>
      <c r="C2" s="7"/>
      <c r="D2" s="7"/>
      <c r="E2" s="7"/>
      <c r="F2" s="8" t="s">
        <v>3</v>
      </c>
      <c r="G2" s="9">
        <v>5</v>
      </c>
    </row>
    <row r="3" spans="1:7" ht="19.5">
      <c r="A3" s="6" t="s">
        <v>4</v>
      </c>
      <c r="B3" s="10">
        <v>3609.7</v>
      </c>
      <c r="F3" s="8" t="s">
        <v>5</v>
      </c>
      <c r="G3" s="11">
        <v>4</v>
      </c>
    </row>
    <row r="4" spans="1:7" ht="18.75">
      <c r="A4" s="12" t="s">
        <v>6</v>
      </c>
      <c r="B4" s="46">
        <v>8.99</v>
      </c>
      <c r="C4" s="1" t="s">
        <v>196</v>
      </c>
      <c r="F4" s="8" t="s">
        <v>8</v>
      </c>
      <c r="G4" s="9">
        <v>1972</v>
      </c>
    </row>
    <row r="5" spans="1:7" ht="18.75">
      <c r="A5" s="12" t="s">
        <v>6</v>
      </c>
      <c r="B5" s="46">
        <v>9.14</v>
      </c>
      <c r="C5" s="1" t="s">
        <v>197</v>
      </c>
      <c r="F5" s="8"/>
      <c r="G5" s="9"/>
    </row>
    <row r="6" spans="1:7" ht="18.75">
      <c r="A6" s="12" t="s">
        <v>6</v>
      </c>
      <c r="B6" s="46">
        <v>9.19</v>
      </c>
      <c r="C6" s="1" t="s">
        <v>81</v>
      </c>
      <c r="F6" s="8"/>
      <c r="G6" s="9"/>
    </row>
    <row r="7" spans="1:3" ht="18.75">
      <c r="A7" s="12" t="s">
        <v>6</v>
      </c>
      <c r="B7" s="46">
        <v>10.21</v>
      </c>
      <c r="C7" s="1" t="s">
        <v>198</v>
      </c>
    </row>
    <row r="8" spans="1:7" ht="19.5" hidden="1">
      <c r="A8" s="15" t="s">
        <v>12</v>
      </c>
      <c r="B8" s="16">
        <v>342.4</v>
      </c>
      <c r="C8" s="17"/>
      <c r="D8" s="17"/>
      <c r="E8" s="17"/>
      <c r="F8" s="17"/>
      <c r="G8" s="17"/>
    </row>
    <row r="9" spans="1:7" ht="19.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33.7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9.5" hidden="1">
      <c r="A11" s="15"/>
      <c r="B11" s="18">
        <v>1544</v>
      </c>
      <c r="C11" s="18">
        <v>1902</v>
      </c>
      <c r="D11" s="18">
        <v>762</v>
      </c>
      <c r="E11" s="18">
        <v>2514</v>
      </c>
      <c r="F11" s="17"/>
      <c r="G11" s="17"/>
    </row>
    <row r="12" spans="1:7" ht="19.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9.5" hidden="1">
      <c r="A13" s="15" t="s">
        <v>21</v>
      </c>
      <c r="B13" s="21">
        <v>539.5</v>
      </c>
      <c r="C13" s="21">
        <v>689.6</v>
      </c>
      <c r="D13" s="21">
        <f>B13+C13</f>
        <v>1229.1</v>
      </c>
      <c r="E13" s="17"/>
      <c r="F13" s="17"/>
      <c r="G13" s="17"/>
    </row>
    <row r="14" spans="1:7" ht="45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9.5" hidden="1">
      <c r="A15" s="24"/>
      <c r="B15" s="25">
        <v>52</v>
      </c>
      <c r="C15" s="25">
        <v>52</v>
      </c>
      <c r="D15" s="25"/>
      <c r="E15" s="26">
        <f>D15+C15+B15</f>
        <v>104</v>
      </c>
      <c r="F15" s="18"/>
      <c r="G15" s="17"/>
    </row>
    <row r="16" spans="1:7" ht="17.2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7.25">
      <c r="A17" s="29" t="s">
        <v>30</v>
      </c>
      <c r="B17" s="29"/>
      <c r="C17" s="29"/>
      <c r="D17" s="29"/>
      <c r="E17" s="29"/>
      <c r="F17" s="29"/>
      <c r="G17" s="36">
        <f>B8*7.012*12</f>
        <v>28810.9056</v>
      </c>
    </row>
    <row r="18" spans="1:7" ht="17.25" hidden="1">
      <c r="A18" s="29" t="s">
        <v>31</v>
      </c>
      <c r="B18" s="29"/>
      <c r="C18" s="29"/>
      <c r="D18" s="29"/>
      <c r="E18" s="29"/>
      <c r="F18" s="29"/>
      <c r="G18" s="36">
        <f>B9*35.705*12</f>
        <v>0</v>
      </c>
    </row>
    <row r="19" spans="1:7" ht="17.25" customHeight="1" hidden="1">
      <c r="A19" s="29" t="s">
        <v>85</v>
      </c>
      <c r="B19" s="29"/>
      <c r="C19" s="29"/>
      <c r="D19" s="29"/>
      <c r="E19" s="29"/>
      <c r="F19" s="29"/>
      <c r="G19" s="36">
        <f>B12*0.3613*12</f>
        <v>0</v>
      </c>
    </row>
    <row r="20" spans="1:7" ht="17.25">
      <c r="A20" s="29" t="s">
        <v>33</v>
      </c>
      <c r="B20" s="29"/>
      <c r="C20" s="29"/>
      <c r="D20" s="29"/>
      <c r="E20" s="29"/>
      <c r="F20" s="29"/>
      <c r="G20" s="36">
        <f>(B11*9.46/100*189)+(C11*7.09/100*113)+(D11*23.66/100*71)+(E11*1.77/100*12)</f>
        <v>56178.55380000001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65">
        <f>(1014567.18*1.18+308700+213742)/244019.8*B3</f>
        <v>25437.907104186954</v>
      </c>
    </row>
    <row r="22" spans="1:7" ht="17.25">
      <c r="A22" s="29" t="s">
        <v>35</v>
      </c>
      <c r="B22" s="29"/>
      <c r="C22" s="29"/>
      <c r="D22" s="29"/>
      <c r="E22" s="29"/>
      <c r="F22" s="29"/>
      <c r="G22" s="36">
        <f>D13*0.135*6</f>
        <v>995.5709999999999</v>
      </c>
    </row>
    <row r="23" spans="1:7" ht="16.5">
      <c r="A23" s="29" t="s">
        <v>36</v>
      </c>
      <c r="B23" s="29"/>
      <c r="C23" s="29"/>
      <c r="D23" s="29"/>
      <c r="E23" s="29"/>
      <c r="F23" s="29"/>
      <c r="G23" s="36">
        <f>114.94+3053.25+1027.32+3304.59</f>
        <v>7500.1</v>
      </c>
    </row>
    <row r="24" spans="1:7" ht="17.25">
      <c r="A24" s="29" t="s">
        <v>37</v>
      </c>
      <c r="B24" s="29"/>
      <c r="C24" s="29"/>
      <c r="D24" s="29"/>
      <c r="E24" s="29"/>
      <c r="F24" s="29"/>
      <c r="G24" s="36">
        <f>B3*0.885*12</f>
        <v>38335.013999999996</v>
      </c>
    </row>
    <row r="25" spans="1:7" ht="17.25" hidden="1">
      <c r="A25" s="29" t="s">
        <v>38</v>
      </c>
      <c r="B25" s="29"/>
      <c r="C25" s="29"/>
      <c r="D25" s="29"/>
      <c r="E25" s="29"/>
      <c r="F25" s="29"/>
      <c r="G25" s="36">
        <v>0</v>
      </c>
    </row>
    <row r="26" spans="1:7" ht="16.5" hidden="1">
      <c r="A26" s="29" t="s">
        <v>39</v>
      </c>
      <c r="B26" s="29"/>
      <c r="C26" s="29"/>
      <c r="D26" s="29"/>
      <c r="E26" s="29"/>
      <c r="F26" s="29"/>
      <c r="G26" s="36">
        <v>0</v>
      </c>
    </row>
    <row r="27" spans="1:7" ht="17.25" hidden="1">
      <c r="A27" s="29" t="s">
        <v>40</v>
      </c>
      <c r="B27" s="29"/>
      <c r="C27" s="29"/>
      <c r="D27" s="29"/>
      <c r="E27" s="29"/>
      <c r="F27" s="29"/>
      <c r="G27" s="36">
        <v>0</v>
      </c>
    </row>
    <row r="28" spans="1:7" ht="17.25">
      <c r="A28" s="29" t="s">
        <v>41</v>
      </c>
      <c r="B28" s="29"/>
      <c r="C28" s="29"/>
      <c r="D28" s="29"/>
      <c r="E28" s="29"/>
      <c r="F28" s="29"/>
      <c r="G28" s="36">
        <f>4224+3017.52+269.56</f>
        <v>7511.080000000001</v>
      </c>
    </row>
    <row r="29" spans="1:7" ht="17.25" hidden="1">
      <c r="A29" s="29" t="s">
        <v>42</v>
      </c>
      <c r="B29" s="29"/>
      <c r="C29" s="29"/>
      <c r="D29" s="29"/>
      <c r="E29" s="29"/>
      <c r="F29" s="29"/>
      <c r="G29" s="36">
        <v>0</v>
      </c>
    </row>
    <row r="30" spans="1:7" ht="16.5" hidden="1">
      <c r="A30" s="29" t="s">
        <v>43</v>
      </c>
      <c r="B30" s="29"/>
      <c r="C30" s="29"/>
      <c r="D30" s="29"/>
      <c r="E30" s="29"/>
      <c r="F30" s="29"/>
      <c r="G30" s="36">
        <v>0</v>
      </c>
    </row>
    <row r="31" spans="1:7" ht="17.25" customHeight="1" hidden="1">
      <c r="A31" s="29" t="s">
        <v>44</v>
      </c>
      <c r="B31" s="29"/>
      <c r="C31" s="29"/>
      <c r="D31" s="29"/>
      <c r="E31" s="29"/>
      <c r="F31" s="29"/>
      <c r="G31" s="36">
        <v>0</v>
      </c>
    </row>
    <row r="32" spans="1:7" ht="17.25">
      <c r="A32" s="29" t="s">
        <v>45</v>
      </c>
      <c r="B32" s="29"/>
      <c r="C32" s="29"/>
      <c r="D32" s="29"/>
      <c r="E32" s="29"/>
      <c r="F32" s="29"/>
      <c r="G32" s="36">
        <f>B3*1.81*6+B3*1.86*6</f>
        <v>79485.59399999998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6">
        <f>(F15*4*8.57)+(B15*2*3.14)+(C15*1*3.14)+(D15*1*3.14)</f>
        <v>489.84000000000003</v>
      </c>
    </row>
    <row r="34" spans="1:7" ht="17.25">
      <c r="A34" s="29" t="s">
        <v>47</v>
      </c>
      <c r="B34" s="29"/>
      <c r="C34" s="29"/>
      <c r="D34" s="29"/>
      <c r="E34" s="29"/>
      <c r="F34" s="29"/>
      <c r="G34" s="36">
        <f>B3*0.65*12</f>
        <v>28155.659999999996</v>
      </c>
    </row>
    <row r="35" spans="1:7" ht="16.5">
      <c r="A35" s="29" t="s">
        <v>48</v>
      </c>
      <c r="B35" s="29"/>
      <c r="C35" s="29"/>
      <c r="D35" s="29"/>
      <c r="E35" s="29"/>
      <c r="F35" s="29"/>
      <c r="G35" s="36">
        <f>B3*0.82*12</f>
        <v>35519.448000000004</v>
      </c>
    </row>
    <row r="36" spans="1:7" ht="17.25" customHeight="1">
      <c r="A36" s="29" t="s">
        <v>49</v>
      </c>
      <c r="B36" s="29"/>
      <c r="C36" s="29"/>
      <c r="D36" s="29"/>
      <c r="E36" s="29"/>
      <c r="F36" s="29"/>
      <c r="G36" s="36">
        <f>B3*0.95*12</f>
        <v>41150.58</v>
      </c>
    </row>
    <row r="37" spans="1:7" ht="17.25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349570.2535041869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7.25" hidden="1">
      <c r="A39" s="29" t="s">
        <v>52</v>
      </c>
      <c r="B39" s="29"/>
      <c r="C39" s="29"/>
      <c r="D39" s="29"/>
      <c r="E39" s="29"/>
      <c r="F39" s="29"/>
      <c r="G39" s="36">
        <f>B3*2.96*12</f>
        <v>128216.544</v>
      </c>
    </row>
    <row r="40" spans="1:7" ht="17.25">
      <c r="A40" s="29" t="s">
        <v>53</v>
      </c>
      <c r="B40" s="29"/>
      <c r="C40" s="29"/>
      <c r="D40" s="29"/>
      <c r="E40" s="29"/>
      <c r="F40" s="29"/>
      <c r="G40" s="36"/>
    </row>
    <row r="41" spans="1:7" ht="17.25">
      <c r="A41" s="37" t="s">
        <v>54</v>
      </c>
      <c r="B41" s="37"/>
      <c r="C41" s="37"/>
      <c r="D41" s="37"/>
      <c r="E41" s="37"/>
      <c r="F41" s="37"/>
      <c r="G41" s="36"/>
    </row>
    <row r="42" spans="1:7" ht="16.5">
      <c r="A42" s="37" t="s">
        <v>55</v>
      </c>
      <c r="B42" s="37"/>
      <c r="C42" s="37"/>
      <c r="D42" s="37"/>
      <c r="E42" s="37"/>
      <c r="F42" s="37"/>
      <c r="G42" s="36">
        <v>753.63</v>
      </c>
    </row>
    <row r="43" spans="1:7" ht="16.5" hidden="1">
      <c r="A43" s="37" t="s">
        <v>56</v>
      </c>
      <c r="B43" s="37"/>
      <c r="C43" s="37"/>
      <c r="D43" s="37"/>
      <c r="E43" s="37"/>
      <c r="F43" s="37"/>
      <c r="G43" s="36"/>
    </row>
    <row r="44" spans="1:7" ht="16.5" hidden="1">
      <c r="A44" s="37" t="s">
        <v>57</v>
      </c>
      <c r="B44" s="37"/>
      <c r="C44" s="37"/>
      <c r="D44" s="37"/>
      <c r="E44" s="37"/>
      <c r="F44" s="37"/>
      <c r="G44" s="36"/>
    </row>
    <row r="45" spans="1:7" ht="16.5" hidden="1">
      <c r="A45" s="37" t="s">
        <v>58</v>
      </c>
      <c r="B45" s="37"/>
      <c r="C45" s="37"/>
      <c r="D45" s="37"/>
      <c r="E45" s="37"/>
      <c r="F45" s="37"/>
      <c r="G45" s="36"/>
    </row>
    <row r="46" spans="1:7" ht="16.5">
      <c r="A46" s="37" t="s">
        <v>59</v>
      </c>
      <c r="B46" s="37"/>
      <c r="C46" s="37"/>
      <c r="D46" s="37"/>
      <c r="E46" s="37"/>
      <c r="F46" s="37"/>
      <c r="G46" s="36"/>
    </row>
    <row r="47" spans="1:7" ht="16.5">
      <c r="A47" s="37" t="s">
        <v>60</v>
      </c>
      <c r="B47" s="37"/>
      <c r="C47" s="37"/>
      <c r="D47" s="37"/>
      <c r="E47" s="37"/>
      <c r="F47" s="37"/>
      <c r="G47" s="36">
        <f>2205.75+788.03+42.08</f>
        <v>3035.8599999999997</v>
      </c>
    </row>
    <row r="48" spans="1:7" ht="16.5">
      <c r="A48" s="37" t="s">
        <v>61</v>
      </c>
      <c r="B48" s="37"/>
      <c r="C48" s="37"/>
      <c r="D48" s="37"/>
      <c r="E48" s="37"/>
      <c r="F48" s="37"/>
      <c r="G48" s="36">
        <v>2130.9</v>
      </c>
    </row>
    <row r="49" spans="1:7" ht="16.5">
      <c r="A49" s="37" t="s">
        <v>62</v>
      </c>
      <c r="B49" s="37"/>
      <c r="C49" s="37"/>
      <c r="D49" s="37"/>
      <c r="E49" s="37"/>
      <c r="F49" s="37"/>
      <c r="G49" s="36">
        <f>1577.13+16159.63</f>
        <v>17736.76</v>
      </c>
    </row>
    <row r="50" spans="1:7" ht="17.25" hidden="1">
      <c r="A50" s="37" t="s">
        <v>63</v>
      </c>
      <c r="B50" s="37"/>
      <c r="C50" s="37"/>
      <c r="D50" s="37"/>
      <c r="E50" s="37"/>
      <c r="F50" s="37"/>
      <c r="G50" s="36"/>
    </row>
    <row r="51" spans="1:7" ht="17.25" hidden="1">
      <c r="A51" s="37" t="s">
        <v>64</v>
      </c>
      <c r="B51" s="37"/>
      <c r="C51" s="37"/>
      <c r="D51" s="37"/>
      <c r="E51" s="37"/>
      <c r="F51" s="37"/>
      <c r="G51" s="36"/>
    </row>
    <row r="52" spans="1:7" ht="17.25">
      <c r="A52" s="37" t="s">
        <v>65</v>
      </c>
      <c r="B52" s="37"/>
      <c r="C52" s="37"/>
      <c r="D52" s="37"/>
      <c r="E52" s="37"/>
      <c r="F52" s="37"/>
      <c r="G52" s="36">
        <v>24406.56</v>
      </c>
    </row>
    <row r="53" spans="1:7" ht="17.25" customHeight="1" hidden="1">
      <c r="A53" s="37" t="s">
        <v>166</v>
      </c>
      <c r="B53" s="37"/>
      <c r="C53" s="37"/>
      <c r="D53" s="37"/>
      <c r="E53" s="37"/>
      <c r="F53" s="37"/>
      <c r="G53" s="36"/>
    </row>
    <row r="54" spans="1:7" ht="17.2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48063.71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397633.96350418695</v>
      </c>
    </row>
    <row r="57" spans="1:7" ht="16.5">
      <c r="A57" s="29" t="s">
        <v>70</v>
      </c>
      <c r="B57" s="29"/>
      <c r="C57" s="29"/>
      <c r="D57" s="29"/>
      <c r="E57" s="29"/>
      <c r="F57" s="29"/>
      <c r="G57" s="36">
        <f>128.23+174.1</f>
        <v>302.33</v>
      </c>
    </row>
    <row r="58" spans="1:7" ht="16.5" customHeight="1">
      <c r="A58" s="40" t="s">
        <v>147</v>
      </c>
      <c r="B58" s="40"/>
      <c r="C58" s="40"/>
      <c r="D58" s="40"/>
      <c r="E58" s="40"/>
      <c r="F58" s="40"/>
      <c r="G58" s="39">
        <f>B3*B4*4+B3*B5*2+B3*B6*5+B3*B7*1+G59</f>
        <v>407945.28</v>
      </c>
    </row>
    <row r="59" spans="1:7" ht="16.5">
      <c r="A59" s="41" t="s">
        <v>144</v>
      </c>
      <c r="B59" s="41"/>
      <c r="C59" s="41"/>
      <c r="D59" s="41"/>
      <c r="E59" s="41"/>
      <c r="F59" s="41"/>
      <c r="G59" s="36">
        <f>160*1*12+141.6*1*12+215.6*12*1+269*1*12</f>
        <v>9434.4</v>
      </c>
    </row>
    <row r="60" spans="1:7" ht="17.25" customHeight="1">
      <c r="A60" s="42" t="s">
        <v>73</v>
      </c>
      <c r="B60" s="42"/>
      <c r="C60" s="42"/>
      <c r="D60" s="42"/>
      <c r="E60" s="42"/>
      <c r="F60" s="42"/>
      <c r="G60" s="43">
        <v>52956.36</v>
      </c>
    </row>
    <row r="61" spans="1:7" ht="56.25" customHeight="1">
      <c r="A61" s="44" t="s">
        <v>110</v>
      </c>
      <c r="B61" s="44"/>
      <c r="C61" s="44"/>
      <c r="D61" s="44"/>
      <c r="E61" s="44"/>
      <c r="F61" s="44"/>
      <c r="G61" s="45">
        <f>G56-G58+G60-G57</f>
        <v>42342.71350418692</v>
      </c>
    </row>
    <row r="64" ht="17.25">
      <c r="A64" s="1" t="s">
        <v>75</v>
      </c>
    </row>
    <row r="65" ht="16.5"/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.19027777777777777" bottom="0" header="0.5118055555555555" footer="0.5118055555555555"/>
  <pageSetup horizontalDpi="300" verticalDpi="300" orientation="portrait" paperSize="9" scale="95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5"/>
  </sheetPr>
  <dimension ref="A1:G65"/>
  <sheetViews>
    <sheetView zoomScale="75" zoomScaleNormal="75" workbookViewId="0" topLeftCell="A1">
      <selection activeCell="G60" sqref="G60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4" width="9.140625" style="1" customWidth="1"/>
    <col min="5" max="5" width="8.00390625" style="1" customWidth="1"/>
    <col min="6" max="6" width="21.421875" style="1" customWidth="1"/>
    <col min="7" max="7" width="14.851562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4" customHeight="1">
      <c r="A1" s="5" t="s">
        <v>91</v>
      </c>
      <c r="B1" s="5"/>
      <c r="C1" s="5"/>
      <c r="D1" s="5"/>
      <c r="E1" s="5"/>
      <c r="F1" s="5"/>
      <c r="G1" s="5"/>
    </row>
    <row r="2" spans="1:7" ht="19.5">
      <c r="A2" s="6" t="s">
        <v>1</v>
      </c>
      <c r="B2" s="7" t="s">
        <v>218</v>
      </c>
      <c r="C2" s="7"/>
      <c r="D2" s="7"/>
      <c r="E2" s="7"/>
      <c r="F2" s="8" t="s">
        <v>3</v>
      </c>
      <c r="G2" s="9">
        <v>4</v>
      </c>
    </row>
    <row r="3" spans="1:7" ht="19.5">
      <c r="A3" s="6" t="s">
        <v>4</v>
      </c>
      <c r="B3" s="10">
        <v>1264</v>
      </c>
      <c r="F3" s="8" t="s">
        <v>5</v>
      </c>
      <c r="G3" s="11">
        <v>2</v>
      </c>
    </row>
    <row r="4" spans="1:7" ht="18.75">
      <c r="A4" s="12" t="s">
        <v>6</v>
      </c>
      <c r="B4" s="46">
        <v>9.59</v>
      </c>
      <c r="C4" s="1" t="s">
        <v>196</v>
      </c>
      <c r="F4" s="8" t="s">
        <v>8</v>
      </c>
      <c r="G4" s="9">
        <v>1958</v>
      </c>
    </row>
    <row r="5" spans="1:7" ht="18.75">
      <c r="A5" s="12" t="s">
        <v>6</v>
      </c>
      <c r="B5" s="46">
        <v>9.74</v>
      </c>
      <c r="C5" s="1" t="s">
        <v>197</v>
      </c>
      <c r="F5" s="8"/>
      <c r="G5" s="9"/>
    </row>
    <row r="6" spans="1:7" ht="18.75">
      <c r="A6" s="12" t="s">
        <v>6</v>
      </c>
      <c r="B6" s="46">
        <v>9.79</v>
      </c>
      <c r="C6" s="1" t="s">
        <v>81</v>
      </c>
      <c r="F6" s="8"/>
      <c r="G6" s="9"/>
    </row>
    <row r="7" spans="1:3" ht="18.75">
      <c r="A7" s="12" t="s">
        <v>6</v>
      </c>
      <c r="B7" s="46">
        <v>10.21</v>
      </c>
      <c r="C7" s="1" t="s">
        <v>198</v>
      </c>
    </row>
    <row r="8" spans="1:7" ht="18" hidden="1">
      <c r="A8" s="15" t="s">
        <v>12</v>
      </c>
      <c r="B8" s="16">
        <v>107</v>
      </c>
      <c r="C8" s="17"/>
      <c r="D8" s="17"/>
      <c r="E8" s="17"/>
      <c r="F8" s="17"/>
      <c r="G8" s="17"/>
    </row>
    <row r="9" spans="1:7" ht="18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33.7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9.5" hidden="1">
      <c r="A11" s="15"/>
      <c r="B11" s="18">
        <v>850</v>
      </c>
      <c r="C11" s="18">
        <v>510</v>
      </c>
      <c r="D11" s="18">
        <v>850</v>
      </c>
      <c r="E11" s="18">
        <v>510</v>
      </c>
      <c r="F11" s="17"/>
      <c r="G11" s="17"/>
    </row>
    <row r="12" spans="1:7" ht="19.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" hidden="1">
      <c r="A13" s="15" t="s">
        <v>21</v>
      </c>
      <c r="B13" s="21">
        <v>306.9</v>
      </c>
      <c r="C13" s="21">
        <v>316</v>
      </c>
      <c r="D13" s="21">
        <f>B13+C13</f>
        <v>622.9</v>
      </c>
      <c r="E13" s="17"/>
      <c r="F13" s="17"/>
      <c r="G13" s="17"/>
    </row>
    <row r="14" spans="1:7" ht="45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9.5" hidden="1">
      <c r="A15" s="24"/>
      <c r="B15" s="25">
        <v>28</v>
      </c>
      <c r="C15" s="25">
        <v>28</v>
      </c>
      <c r="D15" s="25"/>
      <c r="E15" s="26">
        <f>D15+C15+B15</f>
        <v>56</v>
      </c>
      <c r="F15" s="18">
        <v>28</v>
      </c>
      <c r="G15" s="17"/>
    </row>
    <row r="16" spans="1:7" ht="17.2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7.25">
      <c r="A17" s="29" t="s">
        <v>30</v>
      </c>
      <c r="B17" s="29"/>
      <c r="C17" s="29"/>
      <c r="D17" s="29"/>
      <c r="E17" s="29"/>
      <c r="F17" s="29"/>
      <c r="G17" s="36">
        <f>B8*7.012*12</f>
        <v>9003.408</v>
      </c>
    </row>
    <row r="18" spans="1:7" ht="17.25" hidden="1">
      <c r="A18" s="29" t="s">
        <v>31</v>
      </c>
      <c r="B18" s="29"/>
      <c r="C18" s="29"/>
      <c r="D18" s="29"/>
      <c r="E18" s="29"/>
      <c r="F18" s="29"/>
      <c r="G18" s="36">
        <f>B9*35.705*12</f>
        <v>0</v>
      </c>
    </row>
    <row r="19" spans="1:7" ht="17.25" customHeight="1" hidden="1">
      <c r="A19" s="29" t="s">
        <v>85</v>
      </c>
      <c r="B19" s="29"/>
      <c r="C19" s="29"/>
      <c r="D19" s="29"/>
      <c r="E19" s="29"/>
      <c r="F19" s="29"/>
      <c r="G19" s="36">
        <f>B12*0.3613*12</f>
        <v>0</v>
      </c>
    </row>
    <row r="20" spans="1:7" ht="17.25">
      <c r="A20" s="29" t="s">
        <v>33</v>
      </c>
      <c r="B20" s="29"/>
      <c r="C20" s="29"/>
      <c r="D20" s="29"/>
      <c r="E20" s="29"/>
      <c r="F20" s="29"/>
      <c r="G20" s="36">
        <f>(B11*9.46/100*189)+(C11*7.09/100*113)+(D11*23.66/100*71)+(E11*1.77/100*12)</f>
        <v>33670.59100000001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65">
        <f>(1014567.18*1.18+308700+213742)/244019.8*B3</f>
        <v>8907.530980328645</v>
      </c>
    </row>
    <row r="22" spans="1:7" ht="17.25">
      <c r="A22" s="29" t="s">
        <v>35</v>
      </c>
      <c r="B22" s="29"/>
      <c r="C22" s="29"/>
      <c r="D22" s="29"/>
      <c r="E22" s="29"/>
      <c r="F22" s="29"/>
      <c r="G22" s="36">
        <f>D13*0.135*6</f>
        <v>504.549</v>
      </c>
    </row>
    <row r="23" spans="1:7" ht="17.25">
      <c r="A23" s="29" t="s">
        <v>36</v>
      </c>
      <c r="B23" s="29"/>
      <c r="C23" s="29"/>
      <c r="D23" s="29"/>
      <c r="E23" s="29"/>
      <c r="F23" s="29"/>
      <c r="G23" s="36">
        <f>114.94+1709.82+790.25+1709.82+2643.67</f>
        <v>6968.5</v>
      </c>
    </row>
    <row r="24" spans="1:7" ht="17.25">
      <c r="A24" s="29" t="s">
        <v>37</v>
      </c>
      <c r="B24" s="29"/>
      <c r="C24" s="29"/>
      <c r="D24" s="29"/>
      <c r="E24" s="29"/>
      <c r="F24" s="29"/>
      <c r="G24" s="36">
        <f>B3*0.885*12</f>
        <v>13423.68</v>
      </c>
    </row>
    <row r="25" spans="1:7" ht="17.25" hidden="1">
      <c r="A25" s="29" t="s">
        <v>38</v>
      </c>
      <c r="B25" s="29"/>
      <c r="C25" s="29"/>
      <c r="D25" s="29"/>
      <c r="E25" s="29"/>
      <c r="F25" s="29"/>
      <c r="G25" s="36">
        <v>0</v>
      </c>
    </row>
    <row r="26" spans="1:7" ht="17.25" hidden="1">
      <c r="A26" s="29" t="s">
        <v>39</v>
      </c>
      <c r="B26" s="29"/>
      <c r="C26" s="29"/>
      <c r="D26" s="29"/>
      <c r="E26" s="29"/>
      <c r="F26" s="29"/>
      <c r="G26" s="36">
        <v>0</v>
      </c>
    </row>
    <row r="27" spans="1:7" ht="17.25" hidden="1">
      <c r="A27" s="29" t="s">
        <v>40</v>
      </c>
      <c r="B27" s="29"/>
      <c r="C27" s="29"/>
      <c r="D27" s="29"/>
      <c r="E27" s="29"/>
      <c r="F27" s="29"/>
      <c r="G27" s="36">
        <v>0</v>
      </c>
    </row>
    <row r="28" spans="1:7" ht="16.5">
      <c r="A28" s="29" t="s">
        <v>41</v>
      </c>
      <c r="B28" s="29"/>
      <c r="C28" s="29"/>
      <c r="D28" s="29"/>
      <c r="E28" s="29"/>
      <c r="F28" s="29"/>
      <c r="G28" s="36">
        <v>7780.64</v>
      </c>
    </row>
    <row r="29" spans="1:7" ht="17.25" hidden="1">
      <c r="A29" s="29" t="s">
        <v>42</v>
      </c>
      <c r="B29" s="29"/>
      <c r="C29" s="29"/>
      <c r="D29" s="29"/>
      <c r="E29" s="29"/>
      <c r="F29" s="29"/>
      <c r="G29" s="36">
        <v>0</v>
      </c>
    </row>
    <row r="30" spans="1:7" ht="17.25" hidden="1">
      <c r="A30" s="29" t="s">
        <v>43</v>
      </c>
      <c r="B30" s="29"/>
      <c r="C30" s="29"/>
      <c r="D30" s="29"/>
      <c r="E30" s="29"/>
      <c r="F30" s="29"/>
      <c r="G30" s="36">
        <v>0</v>
      </c>
    </row>
    <row r="31" spans="1:7" ht="17.25" customHeight="1" hidden="1">
      <c r="A31" s="29" t="s">
        <v>44</v>
      </c>
      <c r="B31" s="29"/>
      <c r="C31" s="29"/>
      <c r="D31" s="29"/>
      <c r="E31" s="29"/>
      <c r="F31" s="29"/>
      <c r="G31" s="36">
        <v>0</v>
      </c>
    </row>
    <row r="32" spans="1:7" ht="17.25">
      <c r="A32" s="29" t="s">
        <v>45</v>
      </c>
      <c r="B32" s="29"/>
      <c r="C32" s="29"/>
      <c r="D32" s="29"/>
      <c r="E32" s="29"/>
      <c r="F32" s="29"/>
      <c r="G32" s="36">
        <f>B3*1.81*6+B3*1.86*6</f>
        <v>27833.28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6">
        <f>(F15*4*8.57)+(B15*2*3.14)+(C15*1*3.14)+(D15*1*3.14)</f>
        <v>1223.6000000000001</v>
      </c>
    </row>
    <row r="34" spans="1:7" ht="17.25">
      <c r="A34" s="29" t="s">
        <v>47</v>
      </c>
      <c r="B34" s="29"/>
      <c r="C34" s="29"/>
      <c r="D34" s="29"/>
      <c r="E34" s="29"/>
      <c r="F34" s="29"/>
      <c r="G34" s="36">
        <f>B3*0.65*12</f>
        <v>9859.2</v>
      </c>
    </row>
    <row r="35" spans="1:7" ht="17.25">
      <c r="A35" s="29" t="s">
        <v>48</v>
      </c>
      <c r="B35" s="29"/>
      <c r="C35" s="29"/>
      <c r="D35" s="29"/>
      <c r="E35" s="29"/>
      <c r="F35" s="29"/>
      <c r="G35" s="36">
        <f>B3*0.82*12</f>
        <v>12437.76</v>
      </c>
    </row>
    <row r="36" spans="1:7" ht="16.5" customHeight="1">
      <c r="A36" s="29" t="s">
        <v>49</v>
      </c>
      <c r="B36" s="29"/>
      <c r="C36" s="29"/>
      <c r="D36" s="29"/>
      <c r="E36" s="29"/>
      <c r="F36" s="29"/>
      <c r="G36" s="36">
        <f>B3*0.9*12</f>
        <v>13651.2</v>
      </c>
    </row>
    <row r="37" spans="1:7" ht="17.25">
      <c r="A37" s="33" t="s">
        <v>50</v>
      </c>
      <c r="B37" s="33"/>
      <c r="C37" s="33"/>
      <c r="D37" s="33"/>
      <c r="E37" s="33"/>
      <c r="F37" s="33"/>
      <c r="G37" s="39">
        <f>G17+G18+G19+G20+G21+G22+G23+G24+G25+G26+G28+G32+G33+G34+G35+G36+G29+G30+G31+G27</f>
        <v>145263.93898032868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7.25" hidden="1">
      <c r="A39" s="29" t="s">
        <v>52</v>
      </c>
      <c r="B39" s="29"/>
      <c r="C39" s="29"/>
      <c r="D39" s="29"/>
      <c r="E39" s="29"/>
      <c r="F39" s="29"/>
      <c r="G39" s="36">
        <f>B3*2.96*12</f>
        <v>44897.28</v>
      </c>
    </row>
    <row r="40" spans="1:7" ht="17.25">
      <c r="A40" s="29" t="s">
        <v>53</v>
      </c>
      <c r="B40" s="29"/>
      <c r="C40" s="29"/>
      <c r="D40" s="29"/>
      <c r="E40" s="29"/>
      <c r="F40" s="29"/>
      <c r="G40" s="36"/>
    </row>
    <row r="41" spans="1:7" ht="16.5">
      <c r="A41" s="37" t="s">
        <v>54</v>
      </c>
      <c r="B41" s="37"/>
      <c r="C41" s="37"/>
      <c r="D41" s="37"/>
      <c r="E41" s="37"/>
      <c r="F41" s="37"/>
      <c r="G41" s="36">
        <v>3228.3</v>
      </c>
    </row>
    <row r="42" spans="1:7" ht="17.25">
      <c r="A42" s="37" t="s">
        <v>55</v>
      </c>
      <c r="B42" s="37"/>
      <c r="C42" s="37"/>
      <c r="D42" s="37"/>
      <c r="E42" s="37"/>
      <c r="F42" s="37"/>
      <c r="G42" s="36"/>
    </row>
    <row r="43" spans="1:7" ht="17.25">
      <c r="A43" s="37" t="s">
        <v>56</v>
      </c>
      <c r="B43" s="37"/>
      <c r="C43" s="37"/>
      <c r="D43" s="37"/>
      <c r="E43" s="37"/>
      <c r="F43" s="37"/>
      <c r="G43" s="36"/>
    </row>
    <row r="44" spans="1:7" ht="17.25" hidden="1">
      <c r="A44" s="37" t="s">
        <v>57</v>
      </c>
      <c r="B44" s="37"/>
      <c r="C44" s="37"/>
      <c r="D44" s="37"/>
      <c r="E44" s="37"/>
      <c r="F44" s="37"/>
      <c r="G44" s="36"/>
    </row>
    <row r="45" spans="1:7" ht="17.25" hidden="1">
      <c r="A45" s="37" t="s">
        <v>58</v>
      </c>
      <c r="B45" s="37"/>
      <c r="C45" s="37"/>
      <c r="D45" s="37"/>
      <c r="E45" s="37"/>
      <c r="F45" s="37"/>
      <c r="G45" s="36"/>
    </row>
    <row r="46" spans="1:7" ht="17.25" hidden="1">
      <c r="A46" s="37" t="s">
        <v>59</v>
      </c>
      <c r="B46" s="37"/>
      <c r="C46" s="37"/>
      <c r="D46" s="37"/>
      <c r="E46" s="37"/>
      <c r="F46" s="37"/>
      <c r="G46" s="36"/>
    </row>
    <row r="47" spans="1:7" ht="17.25">
      <c r="A47" s="37" t="s">
        <v>60</v>
      </c>
      <c r="B47" s="37"/>
      <c r="C47" s="37"/>
      <c r="D47" s="37"/>
      <c r="E47" s="37"/>
      <c r="F47" s="37"/>
      <c r="G47" s="36">
        <v>42.08</v>
      </c>
    </row>
    <row r="48" spans="1:7" ht="17.25" hidden="1">
      <c r="A48" s="37" t="s">
        <v>61</v>
      </c>
      <c r="B48" s="37"/>
      <c r="C48" s="37"/>
      <c r="D48" s="37"/>
      <c r="E48" s="37"/>
      <c r="F48" s="37"/>
      <c r="G48" s="36"/>
    </row>
    <row r="49" spans="1:7" ht="17.25" hidden="1">
      <c r="A49" s="37" t="s">
        <v>62</v>
      </c>
      <c r="B49" s="37"/>
      <c r="C49" s="37"/>
      <c r="D49" s="37"/>
      <c r="E49" s="37"/>
      <c r="F49" s="37"/>
      <c r="G49" s="36"/>
    </row>
    <row r="50" spans="1:7" ht="17.25">
      <c r="A50" s="37" t="s">
        <v>125</v>
      </c>
      <c r="B50" s="37"/>
      <c r="C50" s="37"/>
      <c r="D50" s="37"/>
      <c r="E50" s="37"/>
      <c r="F50" s="37"/>
      <c r="G50" s="36">
        <f>2173.77+3370.91+1014.42</f>
        <v>6559.1</v>
      </c>
    </row>
    <row r="51" spans="1:7" ht="17.25" hidden="1">
      <c r="A51" s="37" t="s">
        <v>64</v>
      </c>
      <c r="B51" s="37"/>
      <c r="C51" s="37"/>
      <c r="D51" s="37"/>
      <c r="E51" s="37"/>
      <c r="F51" s="37"/>
      <c r="G51" s="36"/>
    </row>
    <row r="52" spans="1:7" ht="17.25">
      <c r="A52" s="37" t="s">
        <v>65</v>
      </c>
      <c r="B52" s="37"/>
      <c r="C52" s="37"/>
      <c r="D52" s="37"/>
      <c r="E52" s="37"/>
      <c r="F52" s="37"/>
      <c r="G52" s="36">
        <v>10049.76</v>
      </c>
    </row>
    <row r="53" spans="1:7" ht="17.2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7.2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19879.239999999998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165143.17898032867</v>
      </c>
    </row>
    <row r="57" spans="1:7" ht="16.5">
      <c r="A57" s="29" t="s">
        <v>70</v>
      </c>
      <c r="B57" s="29"/>
      <c r="C57" s="29"/>
      <c r="D57" s="29"/>
      <c r="E57" s="29"/>
      <c r="F57" s="29"/>
      <c r="G57" s="36">
        <v>0</v>
      </c>
    </row>
    <row r="58" spans="1:7" ht="16.5" customHeight="1">
      <c r="A58" s="40" t="s">
        <v>147</v>
      </c>
      <c r="B58" s="40"/>
      <c r="C58" s="40"/>
      <c r="D58" s="40"/>
      <c r="E58" s="40"/>
      <c r="F58" s="40"/>
      <c r="G58" s="39">
        <f>B3*B4*4+B3*B5*2+B3*B6*5+B3*B7*1+G59</f>
        <v>148029.6</v>
      </c>
    </row>
    <row r="59" spans="1:7" ht="16.5">
      <c r="A59" s="41" t="s">
        <v>144</v>
      </c>
      <c r="B59" s="41"/>
      <c r="C59" s="41"/>
      <c r="D59" s="41"/>
      <c r="E59" s="41"/>
      <c r="F59" s="41"/>
      <c r="G59" s="36">
        <v>141.6</v>
      </c>
    </row>
    <row r="60" spans="1:7" ht="17.25" customHeight="1">
      <c r="A60" s="42" t="s">
        <v>73</v>
      </c>
      <c r="B60" s="42"/>
      <c r="C60" s="42"/>
      <c r="D60" s="42"/>
      <c r="E60" s="42"/>
      <c r="F60" s="42"/>
      <c r="G60" s="43">
        <v>4484.44</v>
      </c>
    </row>
    <row r="61" spans="1:7" ht="58.5" customHeight="1">
      <c r="A61" s="44" t="s">
        <v>110</v>
      </c>
      <c r="B61" s="44"/>
      <c r="C61" s="44"/>
      <c r="D61" s="44"/>
      <c r="E61" s="44"/>
      <c r="F61" s="44"/>
      <c r="G61" s="45">
        <f>G56-G58+G60-G57</f>
        <v>21598.01898032866</v>
      </c>
    </row>
    <row r="65" ht="17.25">
      <c r="A65" s="1" t="s">
        <v>75</v>
      </c>
    </row>
    <row r="130" ht="16.5"/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11"/>
  </sheetPr>
  <dimension ref="A1:G65"/>
  <sheetViews>
    <sheetView zoomScale="75" zoomScaleNormal="75" workbookViewId="0" topLeftCell="A1">
      <selection activeCell="G36" sqref="G36"/>
    </sheetView>
  </sheetViews>
  <sheetFormatPr defaultColWidth="9.140625" defaultRowHeight="12.75"/>
  <cols>
    <col min="1" max="1" width="23.8515625" style="1" customWidth="1"/>
    <col min="2" max="2" width="11.57421875" style="1" customWidth="1"/>
    <col min="3" max="5" width="9.140625" style="1" customWidth="1"/>
    <col min="6" max="6" width="21.421875" style="1" customWidth="1"/>
    <col min="7" max="7" width="15.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49.5" customHeight="1">
      <c r="A1" s="5" t="s">
        <v>91</v>
      </c>
      <c r="B1" s="5"/>
      <c r="C1" s="5"/>
      <c r="D1" s="5"/>
      <c r="E1" s="5"/>
      <c r="F1" s="5"/>
      <c r="G1" s="5"/>
    </row>
    <row r="2" spans="1:7" ht="19.5">
      <c r="A2" s="6" t="s">
        <v>76</v>
      </c>
      <c r="B2" s="7" t="s">
        <v>219</v>
      </c>
      <c r="C2" s="7"/>
      <c r="D2" s="7"/>
      <c r="E2" s="7"/>
      <c r="F2" s="8" t="s">
        <v>3</v>
      </c>
      <c r="G2" s="9">
        <v>5</v>
      </c>
    </row>
    <row r="3" spans="1:7" ht="19.5">
      <c r="A3" s="6" t="s">
        <v>78</v>
      </c>
      <c r="B3" s="10">
        <v>3213.1</v>
      </c>
      <c r="F3" s="8" t="s">
        <v>5</v>
      </c>
      <c r="G3" s="11">
        <v>2</v>
      </c>
    </row>
    <row r="4" spans="1:7" ht="18.75">
      <c r="A4" s="12" t="s">
        <v>79</v>
      </c>
      <c r="B4" s="46">
        <v>11.39</v>
      </c>
      <c r="C4" s="1" t="s">
        <v>196</v>
      </c>
      <c r="F4" s="8" t="s">
        <v>8</v>
      </c>
      <c r="G4" s="9">
        <v>1981</v>
      </c>
    </row>
    <row r="5" spans="1:7" ht="18.75">
      <c r="A5" s="12" t="s">
        <v>79</v>
      </c>
      <c r="B5" s="46">
        <v>11.54</v>
      </c>
      <c r="C5" s="1" t="s">
        <v>197</v>
      </c>
      <c r="F5" s="8"/>
      <c r="G5" s="9"/>
    </row>
    <row r="6" spans="1:7" ht="18.75">
      <c r="A6" s="12" t="s">
        <v>79</v>
      </c>
      <c r="B6" s="46">
        <v>11.59</v>
      </c>
      <c r="C6" s="1" t="s">
        <v>81</v>
      </c>
      <c r="F6" s="8"/>
      <c r="G6" s="9"/>
    </row>
    <row r="7" spans="1:3" ht="18.75">
      <c r="A7" s="12" t="s">
        <v>79</v>
      </c>
      <c r="B7" s="46">
        <v>12.14</v>
      </c>
      <c r="C7" s="1" t="s">
        <v>198</v>
      </c>
    </row>
    <row r="8" spans="1:7" ht="18" hidden="1">
      <c r="A8" s="15" t="s">
        <v>12</v>
      </c>
      <c r="B8" s="16">
        <v>439.4</v>
      </c>
      <c r="C8" s="17"/>
      <c r="D8" s="17"/>
      <c r="E8" s="17"/>
      <c r="F8" s="17"/>
      <c r="G8" s="17"/>
    </row>
    <row r="9" spans="1:7" ht="18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33.7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9.5" hidden="1">
      <c r="A11" s="15"/>
      <c r="B11" s="18">
        <v>1320</v>
      </c>
      <c r="C11" s="18">
        <v>5076</v>
      </c>
      <c r="D11" s="18">
        <v>822</v>
      </c>
      <c r="E11" s="18">
        <v>5574</v>
      </c>
      <c r="F11" s="17"/>
      <c r="G11" s="17"/>
    </row>
    <row r="12" spans="1:7" ht="19.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" hidden="1">
      <c r="A13" s="15" t="s">
        <v>21</v>
      </c>
      <c r="B13" s="21">
        <v>749</v>
      </c>
      <c r="C13" s="21">
        <v>642.6</v>
      </c>
      <c r="D13" s="21">
        <f>B13+C13</f>
        <v>1391.6</v>
      </c>
      <c r="E13" s="17"/>
      <c r="F13" s="17"/>
      <c r="G13" s="17"/>
    </row>
    <row r="14" spans="1:7" ht="45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9.5" hidden="1">
      <c r="A15" s="24"/>
      <c r="B15" s="25">
        <v>120</v>
      </c>
      <c r="C15" s="25"/>
      <c r="D15" s="25">
        <v>120</v>
      </c>
      <c r="E15" s="26">
        <f>D15+C15+B15</f>
        <v>240</v>
      </c>
      <c r="F15" s="18"/>
      <c r="G15" s="17"/>
    </row>
    <row r="16" spans="1:7" ht="17.2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7.25">
      <c r="A17" s="29" t="s">
        <v>30</v>
      </c>
      <c r="B17" s="29"/>
      <c r="C17" s="29"/>
      <c r="D17" s="29"/>
      <c r="E17" s="29"/>
      <c r="F17" s="29"/>
      <c r="G17" s="30">
        <f>B8*8.689*12</f>
        <v>45815.3592</v>
      </c>
    </row>
    <row r="18" spans="1:7" ht="17.25" hidden="1">
      <c r="A18" s="29" t="s">
        <v>31</v>
      </c>
      <c r="B18" s="29"/>
      <c r="C18" s="29"/>
      <c r="D18" s="29"/>
      <c r="E18" s="29"/>
      <c r="F18" s="29"/>
      <c r="G18" s="30">
        <f>B9*19.029*12</f>
        <v>0</v>
      </c>
    </row>
    <row r="19" spans="1:7" ht="17.25" customHeight="1" hidden="1">
      <c r="A19" s="29" t="s">
        <v>85</v>
      </c>
      <c r="B19" s="29"/>
      <c r="C19" s="29"/>
      <c r="D19" s="29"/>
      <c r="E19" s="29"/>
      <c r="F19" s="29"/>
      <c r="G19" s="30">
        <f>B12*0.4523*12</f>
        <v>0</v>
      </c>
    </row>
    <row r="20" spans="1:7" ht="17.25">
      <c r="A20" s="29" t="s">
        <v>33</v>
      </c>
      <c r="B20" s="29"/>
      <c r="C20" s="29"/>
      <c r="D20" s="29"/>
      <c r="E20" s="29"/>
      <c r="F20" s="29"/>
      <c r="G20" s="36">
        <f>(B11*12.84/100*189)+(C11*9.63/100*113)+(D11*32.11/100*71)+(E11*2.41/100*12)</f>
        <v>107621.7954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65">
        <f>(1014567.18*1.18+308700+213742)/244019.8*B3</f>
        <v>22643.02831716295</v>
      </c>
    </row>
    <row r="22" spans="1:7" ht="17.25">
      <c r="A22" s="29" t="s">
        <v>35</v>
      </c>
      <c r="B22" s="29"/>
      <c r="C22" s="29"/>
      <c r="D22" s="29"/>
      <c r="E22" s="29"/>
      <c r="F22" s="29"/>
      <c r="G22" s="30">
        <f>D13*0.135*6</f>
        <v>1127.1960000000001</v>
      </c>
    </row>
    <row r="23" spans="1:7" ht="17.25">
      <c r="A23" s="29" t="s">
        <v>36</v>
      </c>
      <c r="B23" s="29"/>
      <c r="C23" s="29"/>
      <c r="D23" s="29"/>
      <c r="E23" s="29"/>
      <c r="F23" s="29"/>
      <c r="G23" s="30">
        <f>114.94+7327.8+732.78+107.76+3965.51</f>
        <v>12248.789999999999</v>
      </c>
    </row>
    <row r="24" spans="1:7" ht="17.25">
      <c r="A24" s="29" t="s">
        <v>37</v>
      </c>
      <c r="B24" s="29"/>
      <c r="C24" s="29"/>
      <c r="D24" s="29"/>
      <c r="E24" s="29"/>
      <c r="F24" s="29"/>
      <c r="G24" s="30">
        <f>B3*0.885*12</f>
        <v>34123.122</v>
      </c>
    </row>
    <row r="25" spans="1:7" ht="16.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7.2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7.2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7.25">
      <c r="A28" s="29" t="s">
        <v>41</v>
      </c>
      <c r="B28" s="29"/>
      <c r="C28" s="29"/>
      <c r="D28" s="29"/>
      <c r="E28" s="29"/>
      <c r="F28" s="29"/>
      <c r="G28" s="30">
        <v>7241.52</v>
      </c>
    </row>
    <row r="29" spans="1:7" ht="17.2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7.2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7.2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8.75" customHeight="1">
      <c r="A32" s="29" t="s">
        <v>45</v>
      </c>
      <c r="B32" s="29"/>
      <c r="C32" s="29"/>
      <c r="D32" s="29"/>
      <c r="E32" s="29"/>
      <c r="F32" s="29"/>
      <c r="G32" s="30">
        <f>B3*1.81*6+B3*1.86*6</f>
        <v>70752.462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1130.4</v>
      </c>
    </row>
    <row r="34" spans="1:7" ht="17.25">
      <c r="A34" s="29" t="s">
        <v>47</v>
      </c>
      <c r="B34" s="29"/>
      <c r="C34" s="29"/>
      <c r="D34" s="29"/>
      <c r="E34" s="29"/>
      <c r="F34" s="29"/>
      <c r="G34" s="30">
        <f>B3*0.65*12</f>
        <v>25062.18</v>
      </c>
    </row>
    <row r="35" spans="1:7" ht="17.25">
      <c r="A35" s="29" t="s">
        <v>48</v>
      </c>
      <c r="B35" s="29"/>
      <c r="C35" s="29"/>
      <c r="D35" s="29"/>
      <c r="E35" s="29"/>
      <c r="F35" s="29"/>
      <c r="G35" s="30">
        <f>B3*0.82*12</f>
        <v>31616.904000000002</v>
      </c>
    </row>
    <row r="36" spans="1:7" ht="16.5" customHeight="1">
      <c r="A36" s="29" t="s">
        <v>49</v>
      </c>
      <c r="B36" s="29"/>
      <c r="C36" s="29"/>
      <c r="D36" s="29"/>
      <c r="E36" s="29"/>
      <c r="F36" s="29"/>
      <c r="G36" s="30">
        <f>B3*0.9*12</f>
        <v>34701.479999999996</v>
      </c>
    </row>
    <row r="37" spans="1:7" ht="17.2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394084.23691716295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7.25" hidden="1">
      <c r="A39" s="29" t="s">
        <v>52</v>
      </c>
      <c r="B39" s="29"/>
      <c r="C39" s="29"/>
      <c r="D39" s="29"/>
      <c r="E39" s="29"/>
      <c r="F39" s="29"/>
      <c r="G39" s="30">
        <f>B3*3.47*12</f>
        <v>133793.484</v>
      </c>
    </row>
    <row r="40" spans="1:7" ht="17.25">
      <c r="A40" s="29" t="s">
        <v>53</v>
      </c>
      <c r="B40" s="29"/>
      <c r="C40" s="29"/>
      <c r="D40" s="29"/>
      <c r="E40" s="29"/>
      <c r="F40" s="29"/>
      <c r="G40" s="30"/>
    </row>
    <row r="41" spans="1:7" ht="16.5">
      <c r="A41" s="37" t="s">
        <v>54</v>
      </c>
      <c r="B41" s="37"/>
      <c r="C41" s="37"/>
      <c r="D41" s="37"/>
      <c r="E41" s="37"/>
      <c r="F41" s="37"/>
      <c r="G41" s="30">
        <v>524.67</v>
      </c>
    </row>
    <row r="42" spans="1:7" ht="16.5">
      <c r="A42" s="37" t="s">
        <v>55</v>
      </c>
      <c r="B42" s="37"/>
      <c r="C42" s="37"/>
      <c r="D42" s="37"/>
      <c r="E42" s="37"/>
      <c r="F42" s="37"/>
      <c r="G42" s="30">
        <v>736.15</v>
      </c>
    </row>
    <row r="43" spans="1:7" ht="16.5">
      <c r="A43" s="37" t="s">
        <v>56</v>
      </c>
      <c r="B43" s="37"/>
      <c r="C43" s="37"/>
      <c r="D43" s="37"/>
      <c r="E43" s="37"/>
      <c r="F43" s="37"/>
      <c r="G43" s="30"/>
    </row>
    <row r="44" spans="1:7" ht="16.5" hidden="1">
      <c r="A44" s="37" t="s">
        <v>57</v>
      </c>
      <c r="B44" s="37"/>
      <c r="C44" s="37"/>
      <c r="D44" s="37"/>
      <c r="E44" s="37"/>
      <c r="F44" s="37"/>
      <c r="G44" s="30"/>
    </row>
    <row r="45" spans="1:7" ht="16.5" hidden="1">
      <c r="A45" s="37" t="s">
        <v>58</v>
      </c>
      <c r="B45" s="37"/>
      <c r="C45" s="37"/>
      <c r="D45" s="37"/>
      <c r="E45" s="37"/>
      <c r="F45" s="37"/>
      <c r="G45" s="30"/>
    </row>
    <row r="46" spans="1:7" ht="16.5">
      <c r="A46" s="37" t="s">
        <v>59</v>
      </c>
      <c r="B46" s="37"/>
      <c r="C46" s="37"/>
      <c r="D46" s="37"/>
      <c r="E46" s="37"/>
      <c r="F46" s="37"/>
      <c r="G46" s="30">
        <v>114.92</v>
      </c>
    </row>
    <row r="47" spans="1:7" ht="16.5">
      <c r="A47" s="37" t="s">
        <v>60</v>
      </c>
      <c r="B47" s="37"/>
      <c r="C47" s="37"/>
      <c r="D47" s="37"/>
      <c r="E47" s="37"/>
      <c r="F47" s="37"/>
      <c r="G47" s="30">
        <f>1701.41+42.08+845.68</f>
        <v>2589.17</v>
      </c>
    </row>
    <row r="48" spans="1:7" ht="17.25">
      <c r="A48" s="37" t="s">
        <v>61</v>
      </c>
      <c r="B48" s="37"/>
      <c r="C48" s="37"/>
      <c r="D48" s="37"/>
      <c r="E48" s="37"/>
      <c r="F48" s="37"/>
      <c r="G48" s="30">
        <f>3189.55+4074.26+1574.59+2520.06</f>
        <v>11358.46</v>
      </c>
    </row>
    <row r="49" spans="1:7" ht="17.25">
      <c r="A49" s="37" t="s">
        <v>62</v>
      </c>
      <c r="B49" s="37"/>
      <c r="C49" s="37"/>
      <c r="D49" s="37"/>
      <c r="E49" s="37"/>
      <c r="F49" s="37"/>
      <c r="G49" s="30">
        <v>3167.88</v>
      </c>
    </row>
    <row r="50" spans="1:7" ht="17.25">
      <c r="A50" s="37" t="s">
        <v>125</v>
      </c>
      <c r="B50" s="37"/>
      <c r="C50" s="37"/>
      <c r="D50" s="37"/>
      <c r="E50" s="37"/>
      <c r="F50" s="37"/>
      <c r="G50" s="30">
        <v>3266.95</v>
      </c>
    </row>
    <row r="51" spans="1:7" ht="17.25" hidden="1">
      <c r="A51" s="37" t="s">
        <v>64</v>
      </c>
      <c r="B51" s="37"/>
      <c r="C51" s="37"/>
      <c r="D51" s="37"/>
      <c r="E51" s="37"/>
      <c r="F51" s="37"/>
      <c r="G51" s="30"/>
    </row>
    <row r="52" spans="1:7" ht="17.25">
      <c r="A52" s="37" t="s">
        <v>65</v>
      </c>
      <c r="B52" s="37"/>
      <c r="C52" s="37"/>
      <c r="D52" s="37"/>
      <c r="E52" s="37"/>
      <c r="F52" s="37"/>
      <c r="G52" s="30">
        <v>56948.64</v>
      </c>
    </row>
    <row r="53" spans="1:7" ht="17.2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7.2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78706.84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4">
        <f>G37+G55</f>
        <v>472791.076917163</v>
      </c>
    </row>
    <row r="57" spans="1:7" ht="16.5">
      <c r="A57" s="29" t="s">
        <v>70</v>
      </c>
      <c r="B57" s="29"/>
      <c r="C57" s="29"/>
      <c r="D57" s="29"/>
      <c r="E57" s="29"/>
      <c r="F57" s="29"/>
      <c r="G57" s="30">
        <v>0</v>
      </c>
    </row>
    <row r="58" spans="1:7" ht="17.25" customHeight="1">
      <c r="A58" s="40" t="s">
        <v>147</v>
      </c>
      <c r="B58" s="40"/>
      <c r="C58" s="40"/>
      <c r="D58" s="40"/>
      <c r="E58" s="40"/>
      <c r="F58" s="40"/>
      <c r="G58" s="39">
        <f>B3*B4*4+B3*B5*2+B3*B6*5+B3*B7*1+G59</f>
        <v>457347.76300000004</v>
      </c>
    </row>
    <row r="59" spans="1:7" ht="16.5">
      <c r="A59" s="41" t="s">
        <v>144</v>
      </c>
      <c r="B59" s="41"/>
      <c r="C59" s="41"/>
      <c r="D59" s="41"/>
      <c r="E59" s="41"/>
      <c r="F59" s="41"/>
      <c r="G59" s="34">
        <f>1*160*12+180*1*12+141.6*1*12+215.6*1*12+1*269*12</f>
        <v>11594.4</v>
      </c>
    </row>
    <row r="60" spans="1:7" ht="17.25" customHeight="1">
      <c r="A60" s="42" t="s">
        <v>73</v>
      </c>
      <c r="B60" s="42"/>
      <c r="C60" s="42"/>
      <c r="D60" s="42"/>
      <c r="E60" s="42"/>
      <c r="F60" s="42"/>
      <c r="G60" s="47">
        <v>78156.73</v>
      </c>
    </row>
    <row r="61" spans="1:7" ht="58.5" customHeight="1">
      <c r="A61" s="44" t="s">
        <v>110</v>
      </c>
      <c r="B61" s="44"/>
      <c r="C61" s="44"/>
      <c r="D61" s="44"/>
      <c r="E61" s="44"/>
      <c r="F61" s="44"/>
      <c r="G61" s="48">
        <f>G56-G58-G57+G60</f>
        <v>93600.04391716294</v>
      </c>
    </row>
    <row r="64" ht="16.5"/>
    <row r="65" ht="17.25">
      <c r="A65" s="1" t="s">
        <v>75</v>
      </c>
    </row>
    <row r="67" ht="16.5"/>
    <row r="84" ht="16.5"/>
    <row r="87" ht="16.5"/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G65"/>
  <sheetViews>
    <sheetView zoomScale="75" zoomScaleNormal="75" workbookViewId="0" topLeftCell="A1">
      <selection activeCell="G23" sqref="G23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42187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9.25" customHeight="1">
      <c r="A1" s="5" t="s">
        <v>91</v>
      </c>
      <c r="B1" s="5"/>
      <c r="C1" s="5"/>
      <c r="D1" s="5"/>
      <c r="E1" s="5"/>
      <c r="F1" s="5"/>
      <c r="G1" s="5"/>
    </row>
    <row r="2" spans="1:7" ht="19.5">
      <c r="A2" s="6" t="s">
        <v>1</v>
      </c>
      <c r="B2" s="7" t="s">
        <v>108</v>
      </c>
      <c r="C2" s="7"/>
      <c r="D2" s="7"/>
      <c r="E2" s="7"/>
      <c r="F2" s="8" t="s">
        <v>3</v>
      </c>
      <c r="G2" s="9">
        <v>5</v>
      </c>
    </row>
    <row r="3" spans="1:7" ht="19.5">
      <c r="A3" s="6" t="s">
        <v>4</v>
      </c>
      <c r="B3" s="10">
        <v>2712.9</v>
      </c>
      <c r="F3" s="8" t="s">
        <v>5</v>
      </c>
      <c r="G3" s="11">
        <v>4</v>
      </c>
    </row>
    <row r="4" spans="1:7" ht="18.75">
      <c r="A4" s="12" t="s">
        <v>6</v>
      </c>
      <c r="B4" s="46">
        <v>11.39</v>
      </c>
      <c r="C4" s="1" t="s">
        <v>93</v>
      </c>
      <c r="F4" s="8" t="s">
        <v>8</v>
      </c>
      <c r="G4" s="9">
        <v>1975</v>
      </c>
    </row>
    <row r="5" spans="1:7" ht="18.75">
      <c r="A5" s="12" t="s">
        <v>6</v>
      </c>
      <c r="B5" s="46">
        <v>11.54</v>
      </c>
      <c r="C5" s="1" t="s">
        <v>94</v>
      </c>
      <c r="F5" s="8"/>
      <c r="G5" s="9"/>
    </row>
    <row r="6" spans="1:7" ht="18.75">
      <c r="A6" s="12" t="s">
        <v>6</v>
      </c>
      <c r="B6" s="46">
        <v>11.59</v>
      </c>
      <c r="C6" s="1" t="s">
        <v>10</v>
      </c>
      <c r="F6" s="8"/>
      <c r="G6" s="9"/>
    </row>
    <row r="7" spans="1:3" ht="18.75">
      <c r="A7" s="12" t="s">
        <v>6</v>
      </c>
      <c r="B7" s="46">
        <v>12.14</v>
      </c>
      <c r="C7" s="1" t="s">
        <v>95</v>
      </c>
    </row>
    <row r="8" spans="1:7" ht="18" hidden="1">
      <c r="A8" s="15" t="s">
        <v>12</v>
      </c>
      <c r="B8" s="16">
        <v>278</v>
      </c>
      <c r="C8" s="17"/>
      <c r="D8" s="17"/>
      <c r="E8" s="17"/>
      <c r="F8" s="17"/>
      <c r="G8" s="17"/>
    </row>
    <row r="9" spans="1:7" ht="18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33.7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9.5" hidden="1">
      <c r="A11" s="15"/>
      <c r="B11" s="18">
        <v>1050</v>
      </c>
      <c r="C11" s="18">
        <v>3814</v>
      </c>
      <c r="D11" s="18">
        <v>940</v>
      </c>
      <c r="E11" s="18">
        <v>3924</v>
      </c>
      <c r="F11" s="17"/>
      <c r="G11" s="17"/>
    </row>
    <row r="12" spans="1:7" ht="19.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" hidden="1">
      <c r="A13" s="15" t="s">
        <v>21</v>
      </c>
      <c r="B13" s="21">
        <v>547.1</v>
      </c>
      <c r="C13" s="21">
        <v>542.5</v>
      </c>
      <c r="D13" s="21">
        <f>B13+C13</f>
        <v>1089.6</v>
      </c>
      <c r="E13" s="17"/>
      <c r="F13" s="17"/>
      <c r="G13" s="17"/>
    </row>
    <row r="14" spans="1:7" ht="45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9.5" hidden="1">
      <c r="A15" s="24"/>
      <c r="B15" s="25">
        <v>60</v>
      </c>
      <c r="C15" s="25"/>
      <c r="D15" s="25">
        <v>60</v>
      </c>
      <c r="E15" s="26">
        <f>D15+C15+B15</f>
        <v>120</v>
      </c>
      <c r="F15" s="18"/>
      <c r="G15" s="17"/>
    </row>
    <row r="16" spans="1:7" ht="17.2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7.25">
      <c r="A17" s="29" t="s">
        <v>30</v>
      </c>
      <c r="B17" s="29"/>
      <c r="C17" s="29"/>
      <c r="D17" s="29"/>
      <c r="E17" s="29"/>
      <c r="F17" s="29"/>
      <c r="G17" s="30">
        <f>B8*8.689*12</f>
        <v>28986.504</v>
      </c>
    </row>
    <row r="18" spans="1:7" ht="17.25" hidden="1">
      <c r="A18" s="29" t="s">
        <v>31</v>
      </c>
      <c r="B18" s="29"/>
      <c r="C18" s="29"/>
      <c r="D18" s="29"/>
      <c r="E18" s="29"/>
      <c r="F18" s="29"/>
      <c r="G18" s="30">
        <f>B9*35.705*12</f>
        <v>0</v>
      </c>
    </row>
    <row r="19" spans="1:7" ht="17.25" customHeight="1" hidden="1">
      <c r="A19" s="29" t="s">
        <v>85</v>
      </c>
      <c r="B19" s="29"/>
      <c r="C19" s="29"/>
      <c r="D19" s="29"/>
      <c r="E19" s="29"/>
      <c r="F19" s="29"/>
      <c r="G19" s="30">
        <f>B12*0.3613*12</f>
        <v>0</v>
      </c>
    </row>
    <row r="20" spans="1:7" ht="17.25">
      <c r="A20" s="29" t="s">
        <v>33</v>
      </c>
      <c r="B20" s="29"/>
      <c r="C20" s="29"/>
      <c r="D20" s="29"/>
      <c r="E20" s="29"/>
      <c r="F20" s="29"/>
      <c r="G20" s="30">
        <f>(B11*12.84/100*189)+(C11*9.63/100*113)+(D11*32.11/100*71)+(E11*2.41/100*12)</f>
        <v>89549.58140000001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19118.071139825377</v>
      </c>
    </row>
    <row r="22" spans="1:7" ht="17.25">
      <c r="A22" s="29" t="s">
        <v>35</v>
      </c>
      <c r="B22" s="29"/>
      <c r="C22" s="29"/>
      <c r="D22" s="29"/>
      <c r="E22" s="29"/>
      <c r="F22" s="29"/>
      <c r="G22" s="30">
        <f>D13*0.135*6+547.1</f>
        <v>1429.676</v>
      </c>
    </row>
    <row r="23" spans="1:7" ht="16.5">
      <c r="A23" s="29" t="s">
        <v>36</v>
      </c>
      <c r="B23" s="29"/>
      <c r="C23" s="29"/>
      <c r="D23" s="29"/>
      <c r="E23" s="29"/>
      <c r="F23" s="29"/>
      <c r="G23" s="36">
        <f>114.94+3663.9+732.78+316.1+3965.51</f>
        <v>8793.23</v>
      </c>
    </row>
    <row r="24" spans="1:7" ht="17.25">
      <c r="A24" s="29" t="s">
        <v>37</v>
      </c>
      <c r="B24" s="29"/>
      <c r="C24" s="29"/>
      <c r="D24" s="29"/>
      <c r="E24" s="29"/>
      <c r="F24" s="29"/>
      <c r="G24" s="30">
        <f>B3*0.885*12</f>
        <v>28810.998000000003</v>
      </c>
    </row>
    <row r="25" spans="1:7" ht="17.2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7.2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7.2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7.25">
      <c r="A28" s="29" t="s">
        <v>109</v>
      </c>
      <c r="B28" s="29"/>
      <c r="C28" s="29"/>
      <c r="D28" s="29"/>
      <c r="E28" s="29"/>
      <c r="F28" s="29"/>
      <c r="G28" s="30">
        <f>4224+3017.52+4840.21</f>
        <v>12081.73</v>
      </c>
    </row>
    <row r="29" spans="1:7" ht="17.2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7.2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7.2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7.25">
      <c r="A32" s="29" t="s">
        <v>45</v>
      </c>
      <c r="B32" s="29"/>
      <c r="C32" s="29"/>
      <c r="D32" s="29"/>
      <c r="E32" s="29"/>
      <c r="F32" s="29"/>
      <c r="G32" s="30">
        <f>B3*1.81*6+B3*1.86*6</f>
        <v>59738.058000000005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565.2</v>
      </c>
    </row>
    <row r="34" spans="1:7" ht="17.25">
      <c r="A34" s="29" t="s">
        <v>47</v>
      </c>
      <c r="B34" s="29"/>
      <c r="C34" s="29"/>
      <c r="D34" s="29"/>
      <c r="E34" s="29"/>
      <c r="F34" s="29"/>
      <c r="G34" s="30">
        <f>B3*0.65*12</f>
        <v>21160.620000000003</v>
      </c>
    </row>
    <row r="35" spans="1:7" ht="17.25">
      <c r="A35" s="29" t="s">
        <v>48</v>
      </c>
      <c r="B35" s="29"/>
      <c r="C35" s="29"/>
      <c r="D35" s="29"/>
      <c r="E35" s="29"/>
      <c r="F35" s="29"/>
      <c r="G35" s="30">
        <f>B3*0.82*12</f>
        <v>26694.936000000005</v>
      </c>
    </row>
    <row r="36" spans="1:7" ht="17.25" customHeight="1">
      <c r="A36" s="29" t="s">
        <v>49</v>
      </c>
      <c r="B36" s="29"/>
      <c r="C36" s="29"/>
      <c r="D36" s="29"/>
      <c r="E36" s="29"/>
      <c r="F36" s="29"/>
      <c r="G36" s="30">
        <f>B3*0.9*12</f>
        <v>29299.32</v>
      </c>
    </row>
    <row r="37" spans="1:7" ht="17.25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326227.9245398254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7.25" hidden="1">
      <c r="A39" s="29" t="s">
        <v>52</v>
      </c>
      <c r="B39" s="29"/>
      <c r="C39" s="29"/>
      <c r="D39" s="29"/>
      <c r="E39" s="29"/>
      <c r="F39" s="29"/>
      <c r="G39" s="30">
        <f>B3*2.96*12</f>
        <v>96362.208</v>
      </c>
    </row>
    <row r="40" spans="1:7" ht="17.25">
      <c r="A40" s="29" t="s">
        <v>53</v>
      </c>
      <c r="B40" s="29"/>
      <c r="C40" s="29"/>
      <c r="D40" s="29"/>
      <c r="E40" s="29"/>
      <c r="F40" s="29"/>
      <c r="G40" s="30"/>
    </row>
    <row r="41" spans="1:7" ht="17.25">
      <c r="A41" s="37" t="s">
        <v>54</v>
      </c>
      <c r="B41" s="37"/>
      <c r="C41" s="37"/>
      <c r="D41" s="37"/>
      <c r="E41" s="37"/>
      <c r="F41" s="37"/>
      <c r="G41" s="30"/>
    </row>
    <row r="42" spans="1:7" ht="16.5">
      <c r="A42" s="37" t="s">
        <v>55</v>
      </c>
      <c r="B42" s="37"/>
      <c r="C42" s="37"/>
      <c r="D42" s="37"/>
      <c r="E42" s="37"/>
      <c r="F42" s="37"/>
      <c r="G42" s="30">
        <v>244.6</v>
      </c>
    </row>
    <row r="43" spans="1:7" ht="16.5">
      <c r="A43" s="37" t="s">
        <v>56</v>
      </c>
      <c r="B43" s="37"/>
      <c r="C43" s="37"/>
      <c r="D43" s="37"/>
      <c r="E43" s="37"/>
      <c r="F43" s="37"/>
      <c r="G43" s="30">
        <v>489.17</v>
      </c>
    </row>
    <row r="44" spans="1:7" ht="16.5" hidden="1">
      <c r="A44" s="37" t="s">
        <v>57</v>
      </c>
      <c r="B44" s="37"/>
      <c r="C44" s="37"/>
      <c r="D44" s="37"/>
      <c r="E44" s="37"/>
      <c r="F44" s="37"/>
      <c r="G44" s="30"/>
    </row>
    <row r="45" spans="1:7" ht="16.5" hidden="1">
      <c r="A45" s="37" t="s">
        <v>58</v>
      </c>
      <c r="B45" s="37"/>
      <c r="C45" s="37"/>
      <c r="D45" s="37"/>
      <c r="E45" s="37"/>
      <c r="F45" s="37"/>
      <c r="G45" s="30"/>
    </row>
    <row r="46" spans="1:7" ht="16.5">
      <c r="A46" s="37" t="s">
        <v>59</v>
      </c>
      <c r="B46" s="37"/>
      <c r="C46" s="37"/>
      <c r="D46" s="37"/>
      <c r="E46" s="37"/>
      <c r="F46" s="37"/>
      <c r="G46" s="30">
        <f>466.46+451.74</f>
        <v>918.2</v>
      </c>
    </row>
    <row r="47" spans="1:7" ht="16.5">
      <c r="A47" s="37" t="s">
        <v>60</v>
      </c>
      <c r="B47" s="37"/>
      <c r="C47" s="37"/>
      <c r="D47" s="37"/>
      <c r="E47" s="37"/>
      <c r="F47" s="37"/>
      <c r="G47" s="30">
        <f>42.08+843.42+42.08+42.09</f>
        <v>969.6700000000001</v>
      </c>
    </row>
    <row r="48" spans="1:7" ht="17.25">
      <c r="A48" s="37" t="s">
        <v>61</v>
      </c>
      <c r="B48" s="37"/>
      <c r="C48" s="37"/>
      <c r="D48" s="37"/>
      <c r="E48" s="37"/>
      <c r="F48" s="37"/>
      <c r="G48" s="30">
        <f>4118.26+3744.49+2520.06</f>
        <v>10382.81</v>
      </c>
    </row>
    <row r="49" spans="1:7" ht="17.25">
      <c r="A49" s="37" t="s">
        <v>62</v>
      </c>
      <c r="B49" s="37"/>
      <c r="C49" s="37"/>
      <c r="D49" s="37"/>
      <c r="E49" s="37"/>
      <c r="F49" s="37"/>
      <c r="G49" s="30"/>
    </row>
    <row r="50" spans="1:7" ht="17.25" hidden="1">
      <c r="A50" s="37" t="s">
        <v>63</v>
      </c>
      <c r="B50" s="37"/>
      <c r="C50" s="37"/>
      <c r="D50" s="37"/>
      <c r="E50" s="37"/>
      <c r="F50" s="37"/>
      <c r="G50" s="30"/>
    </row>
    <row r="51" spans="1:7" ht="17.25">
      <c r="A51" s="37" t="s">
        <v>64</v>
      </c>
      <c r="B51" s="37"/>
      <c r="C51" s="37"/>
      <c r="D51" s="37"/>
      <c r="E51" s="37"/>
      <c r="F51" s="37"/>
      <c r="G51" s="30">
        <v>67737.4</v>
      </c>
    </row>
    <row r="52" spans="1:7" ht="17.25">
      <c r="A52" s="37" t="s">
        <v>65</v>
      </c>
      <c r="B52" s="37"/>
      <c r="C52" s="37"/>
      <c r="D52" s="37"/>
      <c r="E52" s="37"/>
      <c r="F52" s="37"/>
      <c r="G52" s="30">
        <v>21539</v>
      </c>
    </row>
    <row r="53" spans="1:7" ht="17.2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7.2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102280.84999999999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4">
        <f>G37+G55</f>
        <v>428508.7745398254</v>
      </c>
    </row>
    <row r="57" spans="1:7" ht="17.25">
      <c r="A57" s="29" t="s">
        <v>70</v>
      </c>
      <c r="B57" s="29"/>
      <c r="C57" s="29"/>
      <c r="D57" s="29"/>
      <c r="E57" s="29"/>
      <c r="F57" s="29"/>
      <c r="G57" s="30">
        <f>-586.6-484.92-1642.61</f>
        <v>-2714.13</v>
      </c>
    </row>
    <row r="58" spans="1:7" ht="17.25" customHeight="1">
      <c r="A58" s="40" t="s">
        <v>100</v>
      </c>
      <c r="B58" s="40"/>
      <c r="C58" s="40"/>
      <c r="D58" s="40"/>
      <c r="E58" s="40"/>
      <c r="F58" s="40"/>
      <c r="G58" s="34">
        <f>B3*B4*4+B3*B5*2+B3*B6*5+B3*B7*1+G59</f>
        <v>387955.0170000001</v>
      </c>
    </row>
    <row r="59" spans="1:7" ht="16.5">
      <c r="A59" s="41" t="s">
        <v>89</v>
      </c>
      <c r="B59" s="41"/>
      <c r="C59" s="41"/>
      <c r="D59" s="41"/>
      <c r="E59" s="41"/>
      <c r="F59" s="41"/>
      <c r="G59" s="34">
        <f>160*1*12+180*1*12+141.6*1*12+215.6*1*12+269*1*12</f>
        <v>11594.4</v>
      </c>
    </row>
    <row r="60" spans="1:7" ht="21" customHeight="1">
      <c r="A60" s="42" t="s">
        <v>73</v>
      </c>
      <c r="B60" s="42"/>
      <c r="C60" s="42"/>
      <c r="D60" s="42"/>
      <c r="E60" s="42"/>
      <c r="F60" s="42"/>
      <c r="G60" s="47">
        <v>16010.29</v>
      </c>
    </row>
    <row r="61" spans="1:7" ht="64.5" customHeight="1">
      <c r="A61" s="44" t="s">
        <v>110</v>
      </c>
      <c r="B61" s="44"/>
      <c r="C61" s="44"/>
      <c r="D61" s="44"/>
      <c r="E61" s="44"/>
      <c r="F61" s="44"/>
      <c r="G61" s="48">
        <f>G56-G58+G60-G57</f>
        <v>59278.17753982528</v>
      </c>
    </row>
    <row r="65" ht="17.25">
      <c r="A65" s="1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G64"/>
  <sheetViews>
    <sheetView zoomScale="75" zoomScaleNormal="75" workbookViewId="0" topLeftCell="A1">
      <selection activeCell="G23" sqref="G23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421875" style="1" customWidth="1"/>
    <col min="7" max="7" width="14.2812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6.2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111</v>
      </c>
      <c r="C2" s="7"/>
      <c r="D2" s="7"/>
      <c r="E2" s="7"/>
      <c r="F2" s="8" t="s">
        <v>3</v>
      </c>
      <c r="G2" s="9">
        <v>2</v>
      </c>
    </row>
    <row r="3" spans="1:7" ht="18.75">
      <c r="A3" s="6" t="s">
        <v>4</v>
      </c>
      <c r="B3" s="10">
        <v>419.5</v>
      </c>
      <c r="F3" s="8" t="s">
        <v>5</v>
      </c>
      <c r="G3" s="11">
        <v>1</v>
      </c>
    </row>
    <row r="4" spans="1:7" ht="18.75">
      <c r="A4" s="12" t="s">
        <v>6</v>
      </c>
      <c r="B4" s="46">
        <v>8.25</v>
      </c>
      <c r="C4" s="1" t="s">
        <v>93</v>
      </c>
      <c r="F4" s="8" t="s">
        <v>8</v>
      </c>
      <c r="G4" s="9">
        <v>1955</v>
      </c>
    </row>
    <row r="5" spans="1:7" ht="18.75">
      <c r="A5" s="12" t="s">
        <v>6</v>
      </c>
      <c r="B5" s="13">
        <v>8.4</v>
      </c>
      <c r="C5" s="1" t="s">
        <v>94</v>
      </c>
      <c r="F5" s="8"/>
      <c r="G5" s="9"/>
    </row>
    <row r="6" spans="1:7" ht="18.75">
      <c r="A6" s="12" t="s">
        <v>6</v>
      </c>
      <c r="B6" s="46">
        <v>8.45</v>
      </c>
      <c r="C6" s="1" t="s">
        <v>10</v>
      </c>
      <c r="F6" s="8"/>
      <c r="G6" s="9"/>
    </row>
    <row r="7" spans="1:3" ht="18.75">
      <c r="A7" s="12" t="s">
        <v>6</v>
      </c>
      <c r="B7" s="46">
        <v>8.78</v>
      </c>
      <c r="C7" s="1" t="s">
        <v>95</v>
      </c>
    </row>
    <row r="8" spans="1:7" ht="18.75" hidden="1">
      <c r="A8" s="15" t="s">
        <v>12</v>
      </c>
      <c r="B8" s="50">
        <v>0</v>
      </c>
      <c r="C8" s="17" t="s">
        <v>112</v>
      </c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94</v>
      </c>
      <c r="C11" s="18">
        <v>935</v>
      </c>
      <c r="D11" s="18">
        <v>94</v>
      </c>
      <c r="E11" s="18">
        <v>935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0</v>
      </c>
      <c r="C13" s="21">
        <v>209.8</v>
      </c>
      <c r="D13" s="21">
        <f>B13+C13</f>
        <v>209.8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8</v>
      </c>
      <c r="C15" s="25"/>
      <c r="D15" s="25">
        <v>8</v>
      </c>
      <c r="E15" s="26">
        <f>D15+C15+B15</f>
        <v>16</v>
      </c>
      <c r="F15" s="18"/>
      <c r="G15" s="17"/>
    </row>
    <row r="16" spans="1:7" ht="16.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6.5" hidden="1">
      <c r="A17" s="51" t="s">
        <v>30</v>
      </c>
      <c r="B17" s="51"/>
      <c r="C17" s="51"/>
      <c r="D17" s="51"/>
      <c r="E17" s="51"/>
      <c r="F17" s="51"/>
      <c r="G17" s="52">
        <f>B8*7.012*12</f>
        <v>0</v>
      </c>
    </row>
    <row r="18" spans="1:7" ht="16.5" hidden="1">
      <c r="A18" s="51" t="s">
        <v>31</v>
      </c>
      <c r="B18" s="51"/>
      <c r="C18" s="51"/>
      <c r="D18" s="51"/>
      <c r="E18" s="51"/>
      <c r="F18" s="51"/>
      <c r="G18" s="52">
        <f>B9*35.705*12</f>
        <v>0</v>
      </c>
    </row>
    <row r="19" spans="1:7" ht="15.75" customHeight="1" hidden="1">
      <c r="A19" s="51" t="s">
        <v>85</v>
      </c>
      <c r="B19" s="51"/>
      <c r="C19" s="51"/>
      <c r="D19" s="51"/>
      <c r="E19" s="51"/>
      <c r="F19" s="51"/>
      <c r="G19" s="52">
        <f>B12*0.3613*12</f>
        <v>0</v>
      </c>
    </row>
    <row r="20" spans="1:7" ht="15.75" customHeight="1">
      <c r="A20" s="29" t="s">
        <v>33</v>
      </c>
      <c r="B20" s="29"/>
      <c r="C20" s="29"/>
      <c r="D20" s="29"/>
      <c r="E20" s="29"/>
      <c r="F20" s="29"/>
      <c r="G20" s="30">
        <f>(B11*9.46/100*189)+(C11*7.09/100*113)+(D11*23.66/100*71)+(E11*1.77/100*12)</f>
        <v>10949.2655</v>
      </c>
    </row>
    <row r="21" spans="1:7" ht="15.7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2956.2574525993386</v>
      </c>
    </row>
    <row r="22" spans="1:7" ht="16.5">
      <c r="A22" s="29" t="s">
        <v>35</v>
      </c>
      <c r="B22" s="29"/>
      <c r="C22" s="29"/>
      <c r="D22" s="29"/>
      <c r="E22" s="29"/>
      <c r="F22" s="29"/>
      <c r="G22" s="30">
        <f>D13*0.135*6+3000</f>
        <v>3169.938</v>
      </c>
    </row>
    <row r="23" spans="1:7" ht="16.5">
      <c r="A23" s="29" t="s">
        <v>36</v>
      </c>
      <c r="B23" s="29"/>
      <c r="C23" s="29"/>
      <c r="D23" s="29"/>
      <c r="E23" s="29"/>
      <c r="F23" s="29"/>
      <c r="G23" s="30">
        <f>114.94+488.52+244.26+79.02+1321.84</f>
        <v>2248.58</v>
      </c>
    </row>
    <row r="24" spans="1:7" ht="16.5">
      <c r="A24" s="29" t="s">
        <v>37</v>
      </c>
      <c r="B24" s="29"/>
      <c r="C24" s="29"/>
      <c r="D24" s="29"/>
      <c r="E24" s="29"/>
      <c r="F24" s="29"/>
      <c r="G24" s="30">
        <f>B3*0.885*12</f>
        <v>4455.09</v>
      </c>
    </row>
    <row r="25" spans="1:7" ht="16.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6.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6.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6.5">
      <c r="A28" s="29" t="s">
        <v>41</v>
      </c>
      <c r="B28" s="29"/>
      <c r="C28" s="29"/>
      <c r="D28" s="29"/>
      <c r="E28" s="29"/>
      <c r="F28" s="29"/>
      <c r="G28" s="30">
        <v>0</v>
      </c>
    </row>
    <row r="29" spans="1:7" ht="16.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6.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 customHeight="1">
      <c r="A32" s="29" t="s">
        <v>45</v>
      </c>
      <c r="B32" s="29"/>
      <c r="C32" s="29"/>
      <c r="D32" s="29"/>
      <c r="E32" s="29"/>
      <c r="F32" s="29"/>
      <c r="G32" s="30">
        <f>B3*1.81*6+B3*1.86*6</f>
        <v>9237.39</v>
      </c>
    </row>
    <row r="33" spans="1:7" ht="15.7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75.36</v>
      </c>
    </row>
    <row r="34" spans="1:7" ht="16.5">
      <c r="A34" s="29" t="s">
        <v>47</v>
      </c>
      <c r="B34" s="29"/>
      <c r="C34" s="29"/>
      <c r="D34" s="29"/>
      <c r="E34" s="29"/>
      <c r="F34" s="29"/>
      <c r="G34" s="30">
        <f>B3*0.65*12</f>
        <v>3272.1000000000004</v>
      </c>
    </row>
    <row r="35" spans="1:7" ht="16.5">
      <c r="A35" s="29" t="s">
        <v>48</v>
      </c>
      <c r="B35" s="29"/>
      <c r="C35" s="29"/>
      <c r="D35" s="29"/>
      <c r="E35" s="29"/>
      <c r="F35" s="29"/>
      <c r="G35" s="30">
        <f>B3*0.82*12</f>
        <v>4127.88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B3*0.9*12</f>
        <v>4530.6</v>
      </c>
    </row>
    <row r="37" spans="1:7" ht="15.75" customHeight="1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45022.46095259934</v>
      </c>
    </row>
    <row r="38" spans="1:7" ht="15.75" customHeight="1">
      <c r="A38" s="35" t="s">
        <v>51</v>
      </c>
      <c r="B38" s="35"/>
      <c r="C38" s="35"/>
      <c r="D38" s="35"/>
      <c r="E38" s="35"/>
      <c r="F38" s="35"/>
      <c r="G38" s="36"/>
    </row>
    <row r="39" spans="1:7" ht="15.75" hidden="1">
      <c r="A39" s="29" t="s">
        <v>52</v>
      </c>
      <c r="B39" s="29"/>
      <c r="C39" s="29"/>
      <c r="D39" s="29"/>
      <c r="E39" s="29"/>
      <c r="F39" s="29"/>
      <c r="G39" s="36">
        <f>B3*2.96*12</f>
        <v>14900.64</v>
      </c>
    </row>
    <row r="40" spans="1:7" ht="15.75">
      <c r="A40" s="29" t="s">
        <v>53</v>
      </c>
      <c r="B40" s="29"/>
      <c r="C40" s="29"/>
      <c r="D40" s="29"/>
      <c r="E40" s="29"/>
      <c r="F40" s="29"/>
      <c r="G40" s="36"/>
    </row>
    <row r="41" spans="1:7" ht="16.5">
      <c r="A41" s="37" t="s">
        <v>54</v>
      </c>
      <c r="B41" s="37"/>
      <c r="C41" s="37"/>
      <c r="D41" s="37"/>
      <c r="E41" s="37"/>
      <c r="F41" s="37"/>
      <c r="G41" s="36">
        <v>11199.85</v>
      </c>
    </row>
    <row r="42" spans="1:7" ht="16.5" hidden="1">
      <c r="A42" s="37" t="s">
        <v>55</v>
      </c>
      <c r="B42" s="37"/>
      <c r="C42" s="37"/>
      <c r="D42" s="37"/>
      <c r="E42" s="37"/>
      <c r="F42" s="37"/>
      <c r="G42" s="36"/>
    </row>
    <row r="43" spans="1:7" ht="16.5" hidden="1">
      <c r="A43" s="37" t="s">
        <v>56</v>
      </c>
      <c r="B43" s="37"/>
      <c r="C43" s="37"/>
      <c r="D43" s="37"/>
      <c r="E43" s="37"/>
      <c r="F43" s="37"/>
      <c r="G43" s="36"/>
    </row>
    <row r="44" spans="1:7" ht="16.5" hidden="1">
      <c r="A44" s="37" t="s">
        <v>57</v>
      </c>
      <c r="B44" s="37"/>
      <c r="C44" s="37"/>
      <c r="D44" s="37"/>
      <c r="E44" s="37"/>
      <c r="F44" s="37"/>
      <c r="G44" s="36"/>
    </row>
    <row r="45" spans="1:7" ht="16.5" hidden="1">
      <c r="A45" s="37" t="s">
        <v>58</v>
      </c>
      <c r="B45" s="37"/>
      <c r="C45" s="37"/>
      <c r="D45" s="37"/>
      <c r="E45" s="37"/>
      <c r="F45" s="37"/>
      <c r="G45" s="36"/>
    </row>
    <row r="46" spans="1:7" ht="16.5">
      <c r="A46" s="37" t="s">
        <v>59</v>
      </c>
      <c r="B46" s="37"/>
      <c r="C46" s="37"/>
      <c r="D46" s="37"/>
      <c r="E46" s="37"/>
      <c r="F46" s="37"/>
      <c r="G46" s="36">
        <v>2610.09</v>
      </c>
    </row>
    <row r="47" spans="1:7" ht="16.5">
      <c r="A47" s="37" t="s">
        <v>60</v>
      </c>
      <c r="B47" s="37"/>
      <c r="C47" s="37"/>
      <c r="D47" s="37"/>
      <c r="E47" s="37"/>
      <c r="F47" s="37"/>
      <c r="G47" s="36"/>
    </row>
    <row r="48" spans="1:7" ht="16.5">
      <c r="A48" s="37" t="s">
        <v>61</v>
      </c>
      <c r="B48" s="37"/>
      <c r="C48" s="37"/>
      <c r="D48" s="37"/>
      <c r="E48" s="37"/>
      <c r="F48" s="37"/>
      <c r="G48" s="36">
        <v>12180.27</v>
      </c>
    </row>
    <row r="49" spans="1:7" ht="16.5" hidden="1">
      <c r="A49" s="37" t="s">
        <v>62</v>
      </c>
      <c r="B49" s="37"/>
      <c r="C49" s="37"/>
      <c r="D49" s="37"/>
      <c r="E49" s="37"/>
      <c r="F49" s="37"/>
      <c r="G49" s="36"/>
    </row>
    <row r="50" spans="1:7" ht="16.5" hidden="1">
      <c r="A50" s="37" t="s">
        <v>63</v>
      </c>
      <c r="B50" s="37"/>
      <c r="C50" s="37"/>
      <c r="D50" s="37"/>
      <c r="E50" s="37"/>
      <c r="F50" s="37"/>
      <c r="G50" s="36"/>
    </row>
    <row r="51" spans="1:7" ht="16.5" hidden="1">
      <c r="A51" s="37" t="s">
        <v>64</v>
      </c>
      <c r="B51" s="37"/>
      <c r="C51" s="37"/>
      <c r="D51" s="37"/>
      <c r="E51" s="37"/>
      <c r="F51" s="37"/>
      <c r="G51" s="36"/>
    </row>
    <row r="52" spans="1:7" ht="16.5">
      <c r="A52" s="37" t="s">
        <v>65</v>
      </c>
      <c r="B52" s="37"/>
      <c r="C52" s="37"/>
      <c r="D52" s="37"/>
      <c r="E52" s="37"/>
      <c r="F52" s="37"/>
      <c r="G52" s="36">
        <v>2153.9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6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6"/>
    </row>
    <row r="55" spans="1:7" ht="15.75" customHeight="1">
      <c r="A55" s="38" t="s">
        <v>68</v>
      </c>
      <c r="B55" s="38"/>
      <c r="C55" s="38"/>
      <c r="D55" s="38"/>
      <c r="E55" s="38"/>
      <c r="F55" s="38"/>
      <c r="G55" s="39">
        <f>G41+G42+G43+G44+G45+G46+G47+G48+G49+G50+G51+G52+G53+G54</f>
        <v>28144.11</v>
      </c>
    </row>
    <row r="56" spans="1:7" ht="15.75" customHeight="1">
      <c r="A56" s="38" t="s">
        <v>69</v>
      </c>
      <c r="B56" s="38"/>
      <c r="C56" s="38"/>
      <c r="D56" s="38"/>
      <c r="E56" s="38"/>
      <c r="F56" s="38"/>
      <c r="G56" s="39">
        <f>G37+G55</f>
        <v>73166.57095259934</v>
      </c>
    </row>
    <row r="57" spans="1:7" ht="16.5">
      <c r="A57" s="29" t="s">
        <v>70</v>
      </c>
      <c r="B57" s="29"/>
      <c r="C57" s="29"/>
      <c r="D57" s="29"/>
      <c r="E57" s="29"/>
      <c r="F57" s="29"/>
      <c r="G57" s="36">
        <v>0</v>
      </c>
    </row>
    <row r="58" spans="1:7" ht="15.75" customHeight="1">
      <c r="A58" s="40" t="s">
        <v>71</v>
      </c>
      <c r="B58" s="40"/>
      <c r="C58" s="40"/>
      <c r="D58" s="40"/>
      <c r="E58" s="40"/>
      <c r="F58" s="40"/>
      <c r="G58" s="39">
        <f>B3*B4*4+B3*B5*2+B3*B6*5+B3*B7*1+G59</f>
        <v>46584.585</v>
      </c>
    </row>
    <row r="59" spans="1:7" ht="15.75" customHeight="1">
      <c r="A59" s="41" t="s">
        <v>113</v>
      </c>
      <c r="B59" s="41"/>
      <c r="C59" s="41"/>
      <c r="D59" s="41"/>
      <c r="E59" s="41"/>
      <c r="F59" s="41"/>
      <c r="G59" s="39">
        <f>1*141.6*12+215.6*1*12</f>
        <v>4286.4</v>
      </c>
    </row>
    <row r="60" spans="1:7" ht="18.75" customHeight="1">
      <c r="A60" s="42" t="s">
        <v>73</v>
      </c>
      <c r="B60" s="42"/>
      <c r="C60" s="42"/>
      <c r="D60" s="42"/>
      <c r="E60" s="42"/>
      <c r="F60" s="42"/>
      <c r="G60" s="47">
        <v>1072.4</v>
      </c>
    </row>
    <row r="61" spans="1:7" ht="65.25" customHeight="1">
      <c r="A61" s="44" t="s">
        <v>114</v>
      </c>
      <c r="B61" s="44"/>
      <c r="C61" s="44"/>
      <c r="D61" s="44"/>
      <c r="E61" s="44"/>
      <c r="F61" s="44"/>
      <c r="G61" s="45">
        <f>G56-G58+G60-G57</f>
        <v>27654.385952599347</v>
      </c>
    </row>
    <row r="62" ht="16.5"/>
    <row r="63" ht="16.5"/>
    <row r="64" ht="15.75">
      <c r="A64" s="1" t="s">
        <v>75</v>
      </c>
    </row>
    <row r="65" ht="16.5"/>
    <row r="130" ht="16.5"/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39375" right="0" top="0" bottom="0" header="0.5118055555555555" footer="0.5118055555555555"/>
  <pageSetup horizontalDpi="300" verticalDpi="3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G66"/>
  <sheetViews>
    <sheetView zoomScale="75" zoomScaleNormal="75" workbookViewId="0" topLeftCell="A1">
      <selection activeCell="G59" sqref="G59"/>
    </sheetView>
  </sheetViews>
  <sheetFormatPr defaultColWidth="9.140625" defaultRowHeight="12.75"/>
  <cols>
    <col min="1" max="1" width="23.8515625" style="1" customWidth="1"/>
    <col min="2" max="2" width="12.8515625" style="1" customWidth="1"/>
    <col min="3" max="5" width="9.140625" style="1" customWidth="1"/>
    <col min="6" max="6" width="21.57421875" style="1" customWidth="1"/>
    <col min="7" max="7" width="14.28125" style="1" customWidth="1"/>
    <col min="8" max="41" width="9.140625" style="1" customWidth="1"/>
    <col min="42" max="44" width="9.140625" style="2" customWidth="1"/>
    <col min="45" max="45" width="9.140625" style="3" customWidth="1"/>
    <col min="46" max="46" width="9.140625" style="4" customWidth="1"/>
    <col min="47" max="16384" width="9.140625" style="1" customWidth="1"/>
  </cols>
  <sheetData>
    <row r="1" spans="1:7" ht="58.5" customHeight="1">
      <c r="A1" s="5" t="s">
        <v>91</v>
      </c>
      <c r="B1" s="5"/>
      <c r="C1" s="5"/>
      <c r="D1" s="5"/>
      <c r="E1" s="5"/>
      <c r="F1" s="5"/>
      <c r="G1" s="5"/>
    </row>
    <row r="2" spans="1:7" ht="18.75">
      <c r="A2" s="6" t="s">
        <v>1</v>
      </c>
      <c r="B2" s="7" t="s">
        <v>115</v>
      </c>
      <c r="C2" s="7"/>
      <c r="D2" s="7"/>
      <c r="E2" s="7"/>
      <c r="F2" s="8" t="s">
        <v>3</v>
      </c>
      <c r="G2" s="9">
        <v>5</v>
      </c>
    </row>
    <row r="3" spans="1:7" ht="18.75">
      <c r="A3" s="6" t="s">
        <v>4</v>
      </c>
      <c r="B3" s="10">
        <v>2678.6</v>
      </c>
      <c r="F3" s="8" t="s">
        <v>5</v>
      </c>
      <c r="G3" s="11">
        <v>4</v>
      </c>
    </row>
    <row r="4" spans="1:7" ht="18.75">
      <c r="A4" s="12" t="s">
        <v>6</v>
      </c>
      <c r="B4" s="46">
        <v>9.59</v>
      </c>
      <c r="C4" s="1" t="s">
        <v>116</v>
      </c>
      <c r="F4" s="8" t="s">
        <v>8</v>
      </c>
      <c r="G4" s="9">
        <v>1971</v>
      </c>
    </row>
    <row r="5" spans="1:7" ht="18.75">
      <c r="A5" s="12" t="s">
        <v>6</v>
      </c>
      <c r="B5" s="46">
        <v>9.74</v>
      </c>
      <c r="C5" s="1" t="s">
        <v>94</v>
      </c>
      <c r="F5" s="8"/>
      <c r="G5" s="9"/>
    </row>
    <row r="6" spans="1:7" ht="18.75">
      <c r="A6" s="12" t="s">
        <v>6</v>
      </c>
      <c r="B6" s="46">
        <v>9.79</v>
      </c>
      <c r="C6" s="1" t="s">
        <v>10</v>
      </c>
      <c r="F6" s="8"/>
      <c r="G6" s="9"/>
    </row>
    <row r="7" spans="1:3" ht="18.75">
      <c r="A7" s="12" t="s">
        <v>6</v>
      </c>
      <c r="B7" s="46">
        <v>10.21</v>
      </c>
      <c r="C7" s="1" t="s">
        <v>95</v>
      </c>
    </row>
    <row r="8" spans="1:7" ht="18.75" hidden="1">
      <c r="A8" s="15" t="s">
        <v>12</v>
      </c>
      <c r="B8" s="16">
        <v>330</v>
      </c>
      <c r="C8" s="17"/>
      <c r="D8" s="17"/>
      <c r="E8" s="17"/>
      <c r="F8" s="17"/>
      <c r="G8" s="17"/>
    </row>
    <row r="9" spans="1:7" ht="18.75" hidden="1">
      <c r="A9" s="15" t="s">
        <v>13</v>
      </c>
      <c r="B9" s="18">
        <v>0</v>
      </c>
      <c r="C9" s="17"/>
      <c r="D9" s="17"/>
      <c r="E9" s="17"/>
      <c r="F9" s="17"/>
      <c r="G9" s="17"/>
    </row>
    <row r="10" spans="1:7" ht="56.25" hidden="1">
      <c r="A10" s="19" t="s">
        <v>14</v>
      </c>
      <c r="B10" s="20" t="s">
        <v>15</v>
      </c>
      <c r="C10" s="20" t="s">
        <v>16</v>
      </c>
      <c r="D10" s="20" t="s">
        <v>17</v>
      </c>
      <c r="E10" s="20" t="s">
        <v>18</v>
      </c>
      <c r="F10" s="17"/>
      <c r="G10" s="17"/>
    </row>
    <row r="11" spans="1:7" ht="18.75" hidden="1">
      <c r="A11" s="15"/>
      <c r="B11" s="18">
        <v>490</v>
      </c>
      <c r="C11" s="18">
        <v>2080</v>
      </c>
      <c r="D11" s="18">
        <v>490</v>
      </c>
      <c r="E11" s="18">
        <v>2080</v>
      </c>
      <c r="F11" s="17"/>
      <c r="G11" s="17"/>
    </row>
    <row r="12" spans="1:7" ht="18.75" hidden="1">
      <c r="A12" s="15" t="s">
        <v>19</v>
      </c>
      <c r="B12" s="21">
        <v>0</v>
      </c>
      <c r="C12" s="17"/>
      <c r="D12" s="17"/>
      <c r="E12" s="17"/>
      <c r="F12" s="17"/>
      <c r="G12" s="17"/>
    </row>
    <row r="13" spans="1:7" ht="18.75" hidden="1">
      <c r="A13" s="15" t="s">
        <v>21</v>
      </c>
      <c r="B13" s="21">
        <v>545.4</v>
      </c>
      <c r="C13" s="21">
        <v>535.7</v>
      </c>
      <c r="D13" s="21">
        <f>B13+C13</f>
        <v>1081.1</v>
      </c>
      <c r="E13" s="17"/>
      <c r="F13" s="17"/>
      <c r="G13" s="17"/>
    </row>
    <row r="14" spans="1:7" ht="48" hidden="1">
      <c r="A14" s="15" t="s">
        <v>22</v>
      </c>
      <c r="B14" s="20" t="s">
        <v>23</v>
      </c>
      <c r="C14" s="22" t="s">
        <v>24</v>
      </c>
      <c r="D14" s="20" t="s">
        <v>25</v>
      </c>
      <c r="E14" s="23" t="s">
        <v>26</v>
      </c>
      <c r="F14" s="18" t="s">
        <v>27</v>
      </c>
      <c r="G14" s="17"/>
    </row>
    <row r="15" spans="1:7" ht="18.75" hidden="1">
      <c r="A15" s="24"/>
      <c r="B15" s="25">
        <v>60</v>
      </c>
      <c r="C15" s="25"/>
      <c r="D15" s="25">
        <v>60</v>
      </c>
      <c r="E15" s="26">
        <f>D15+C15+B15</f>
        <v>120</v>
      </c>
      <c r="F15" s="18"/>
      <c r="G15" s="17"/>
    </row>
    <row r="16" spans="1:7" ht="15.75">
      <c r="A16" s="27" t="s">
        <v>28</v>
      </c>
      <c r="B16" s="27"/>
      <c r="C16" s="27"/>
      <c r="D16" s="27"/>
      <c r="E16" s="27"/>
      <c r="F16" s="27"/>
      <c r="G16" s="28" t="s">
        <v>29</v>
      </c>
    </row>
    <row r="17" spans="1:7" ht="15.75">
      <c r="A17" s="29" t="s">
        <v>30</v>
      </c>
      <c r="B17" s="29"/>
      <c r="C17" s="29"/>
      <c r="D17" s="29"/>
      <c r="E17" s="29"/>
      <c r="F17" s="29"/>
      <c r="G17" s="30">
        <f>B8*7.012*10</f>
        <v>23139.6</v>
      </c>
    </row>
    <row r="18" spans="1:7" ht="15.75" hidden="1">
      <c r="A18" s="29" t="s">
        <v>31</v>
      </c>
      <c r="B18" s="29"/>
      <c r="C18" s="29"/>
      <c r="D18" s="29"/>
      <c r="E18" s="29"/>
      <c r="F18" s="29"/>
      <c r="G18" s="30">
        <f>B9*35.705*12</f>
        <v>0</v>
      </c>
    </row>
    <row r="19" spans="1:7" ht="15.75" customHeight="1" hidden="1">
      <c r="A19" s="29" t="s">
        <v>85</v>
      </c>
      <c r="B19" s="29"/>
      <c r="C19" s="29"/>
      <c r="D19" s="29"/>
      <c r="E19" s="29"/>
      <c r="F19" s="29"/>
      <c r="G19" s="30">
        <f>B12*0.3613*12</f>
        <v>0</v>
      </c>
    </row>
    <row r="20" spans="1:7" ht="15.75" customHeight="1">
      <c r="A20" s="29" t="s">
        <v>33</v>
      </c>
      <c r="B20" s="29"/>
      <c r="C20" s="29"/>
      <c r="D20" s="29"/>
      <c r="E20" s="29"/>
      <c r="F20" s="29"/>
      <c r="G20" s="30">
        <f>(B11*9.46/100*189)+(C11*7.09/100*113)+(D11*23.66/100*27)+(E11*1.77/100*5)</f>
        <v>28739.54</v>
      </c>
    </row>
    <row r="21" spans="1:7" ht="17.25" customHeight="1">
      <c r="A21" s="31" t="s">
        <v>34</v>
      </c>
      <c r="B21" s="31"/>
      <c r="C21" s="31"/>
      <c r="D21" s="31"/>
      <c r="E21" s="31"/>
      <c r="F21" s="31"/>
      <c r="G21" s="32">
        <f>(1014567.18*1.18+308700+213742.08)/244019.8*B3</f>
        <v>18876.355691376848</v>
      </c>
    </row>
    <row r="22" spans="1:7" ht="15.75">
      <c r="A22" s="29" t="s">
        <v>35</v>
      </c>
      <c r="B22" s="29"/>
      <c r="C22" s="29"/>
      <c r="D22" s="29"/>
      <c r="E22" s="29"/>
      <c r="F22" s="29"/>
      <c r="G22" s="30">
        <f>D13*0.135*5</f>
        <v>729.7425</v>
      </c>
    </row>
    <row r="23" spans="1:7" ht="15.75" hidden="1">
      <c r="A23" s="29" t="s">
        <v>36</v>
      </c>
      <c r="B23" s="29"/>
      <c r="C23" s="29"/>
      <c r="D23" s="29"/>
      <c r="E23" s="29"/>
      <c r="F23" s="29"/>
      <c r="G23" s="30">
        <v>0</v>
      </c>
    </row>
    <row r="24" spans="1:7" ht="15.75">
      <c r="A24" s="29" t="s">
        <v>37</v>
      </c>
      <c r="B24" s="29"/>
      <c r="C24" s="29"/>
      <c r="D24" s="29"/>
      <c r="E24" s="29"/>
      <c r="F24" s="29"/>
      <c r="G24" s="30">
        <f>B3*0.885*10</f>
        <v>23705.61</v>
      </c>
    </row>
    <row r="25" spans="1:7" ht="15.75" hidden="1">
      <c r="A25" s="29" t="s">
        <v>38</v>
      </c>
      <c r="B25" s="29"/>
      <c r="C25" s="29"/>
      <c r="D25" s="29"/>
      <c r="E25" s="29"/>
      <c r="F25" s="29"/>
      <c r="G25" s="30">
        <v>0</v>
      </c>
    </row>
    <row r="26" spans="1:7" ht="15.75" hidden="1">
      <c r="A26" s="29" t="s">
        <v>39</v>
      </c>
      <c r="B26" s="29"/>
      <c r="C26" s="29"/>
      <c r="D26" s="29"/>
      <c r="E26" s="29"/>
      <c r="F26" s="29"/>
      <c r="G26" s="30">
        <v>0</v>
      </c>
    </row>
    <row r="27" spans="1:7" ht="15.75" hidden="1">
      <c r="A27" s="29" t="s">
        <v>40</v>
      </c>
      <c r="B27" s="29"/>
      <c r="C27" s="29"/>
      <c r="D27" s="29"/>
      <c r="E27" s="29"/>
      <c r="F27" s="29"/>
      <c r="G27" s="30">
        <v>0</v>
      </c>
    </row>
    <row r="28" spans="1:7" ht="17.25">
      <c r="A28" s="29" t="s">
        <v>41</v>
      </c>
      <c r="B28" s="29"/>
      <c r="C28" s="29"/>
      <c r="D28" s="29"/>
      <c r="E28" s="29"/>
      <c r="F28" s="29"/>
      <c r="G28" s="30">
        <f>3520+2514.6+269.56</f>
        <v>6304.160000000001</v>
      </c>
    </row>
    <row r="29" spans="1:7" ht="15.75" hidden="1">
      <c r="A29" s="29" t="s">
        <v>42</v>
      </c>
      <c r="B29" s="29"/>
      <c r="C29" s="29"/>
      <c r="D29" s="29"/>
      <c r="E29" s="29"/>
      <c r="F29" s="29"/>
      <c r="G29" s="30">
        <v>0</v>
      </c>
    </row>
    <row r="30" spans="1:7" ht="15.75" hidden="1">
      <c r="A30" s="29" t="s">
        <v>43</v>
      </c>
      <c r="B30" s="29"/>
      <c r="C30" s="29"/>
      <c r="D30" s="29"/>
      <c r="E30" s="29"/>
      <c r="F30" s="29"/>
      <c r="G30" s="30">
        <v>0</v>
      </c>
    </row>
    <row r="31" spans="1:7" ht="15.75" customHeight="1" hidden="1">
      <c r="A31" s="29" t="s">
        <v>44</v>
      </c>
      <c r="B31" s="29"/>
      <c r="C31" s="29"/>
      <c r="D31" s="29"/>
      <c r="E31" s="29"/>
      <c r="F31" s="29"/>
      <c r="G31" s="30">
        <v>0</v>
      </c>
    </row>
    <row r="32" spans="1:7" ht="15.75" customHeight="1">
      <c r="A32" s="29" t="s">
        <v>45</v>
      </c>
      <c r="B32" s="29"/>
      <c r="C32" s="29"/>
      <c r="D32" s="29"/>
      <c r="E32" s="29"/>
      <c r="F32" s="29"/>
      <c r="G32" s="30">
        <f>B3*1.81*4+B3*1.86*6</f>
        <v>49286.24</v>
      </c>
    </row>
    <row r="33" spans="1:7" ht="17.25" customHeight="1">
      <c r="A33" s="31" t="s">
        <v>46</v>
      </c>
      <c r="B33" s="31"/>
      <c r="C33" s="31"/>
      <c r="D33" s="31"/>
      <c r="E33" s="31"/>
      <c r="F33" s="31"/>
      <c r="G33" s="30">
        <f>(F15*4*8.57)+(B15*2*3.14)+(C15*1*3.14)+(D15*1*3.14)</f>
        <v>565.2</v>
      </c>
    </row>
    <row r="34" spans="1:7" ht="15.75">
      <c r="A34" s="29" t="s">
        <v>47</v>
      </c>
      <c r="B34" s="29"/>
      <c r="C34" s="29"/>
      <c r="D34" s="29"/>
      <c r="E34" s="29"/>
      <c r="F34" s="29"/>
      <c r="G34" s="30">
        <f>B3*0.65*10</f>
        <v>17410.899999999998</v>
      </c>
    </row>
    <row r="35" spans="1:7" ht="15.75">
      <c r="A35" s="29" t="s">
        <v>48</v>
      </c>
      <c r="B35" s="29"/>
      <c r="C35" s="29"/>
      <c r="D35" s="29"/>
      <c r="E35" s="29"/>
      <c r="F35" s="29"/>
      <c r="G35" s="30">
        <f>B3*0.82*10</f>
        <v>21964.520000000004</v>
      </c>
    </row>
    <row r="36" spans="1:7" ht="15.75" customHeight="1">
      <c r="A36" s="29" t="s">
        <v>49</v>
      </c>
      <c r="B36" s="29"/>
      <c r="C36" s="29"/>
      <c r="D36" s="29"/>
      <c r="E36" s="29"/>
      <c r="F36" s="29"/>
      <c r="G36" s="30">
        <f>B3*0.9*10</f>
        <v>24107.399999999998</v>
      </c>
    </row>
    <row r="37" spans="1:7" ht="15.75" customHeight="1">
      <c r="A37" s="33" t="s">
        <v>50</v>
      </c>
      <c r="B37" s="33"/>
      <c r="C37" s="33"/>
      <c r="D37" s="33"/>
      <c r="E37" s="33"/>
      <c r="F37" s="33"/>
      <c r="G37" s="34">
        <f>G17+G18+G19+G20+G21+G22+G23+G24+G25+G26+G28+G32+G33+G34+G35+G36+G29+G30+G31+G27</f>
        <v>214829.26819137685</v>
      </c>
    </row>
    <row r="38" spans="1:7" ht="17.25" customHeight="1">
      <c r="A38" s="35" t="s">
        <v>51</v>
      </c>
      <c r="B38" s="35"/>
      <c r="C38" s="35"/>
      <c r="D38" s="35"/>
      <c r="E38" s="35"/>
      <c r="F38" s="35"/>
      <c r="G38" s="30"/>
    </row>
    <row r="39" spans="1:7" ht="15.75" hidden="1">
      <c r="A39" s="29" t="s">
        <v>52</v>
      </c>
      <c r="B39" s="29"/>
      <c r="C39" s="29"/>
      <c r="D39" s="29"/>
      <c r="E39" s="29"/>
      <c r="F39" s="29"/>
      <c r="G39" s="30">
        <f>B3*2.96*12</f>
        <v>95143.872</v>
      </c>
    </row>
    <row r="40" spans="1:7" ht="17.25">
      <c r="A40" s="29" t="s">
        <v>53</v>
      </c>
      <c r="B40" s="29"/>
      <c r="C40" s="29"/>
      <c r="D40" s="29"/>
      <c r="E40" s="29"/>
      <c r="F40" s="29"/>
      <c r="G40" s="30"/>
    </row>
    <row r="41" spans="1:7" ht="17.25">
      <c r="A41" s="37" t="s">
        <v>54</v>
      </c>
      <c r="B41" s="37"/>
      <c r="C41" s="37"/>
      <c r="D41" s="37"/>
      <c r="E41" s="37"/>
      <c r="F41" s="37"/>
      <c r="G41" s="30">
        <v>3546.03</v>
      </c>
    </row>
    <row r="42" spans="1:7" ht="17.25" hidden="1">
      <c r="A42" s="37" t="s">
        <v>55</v>
      </c>
      <c r="B42" s="37"/>
      <c r="C42" s="37"/>
      <c r="D42" s="37"/>
      <c r="E42" s="37"/>
      <c r="F42" s="37"/>
      <c r="G42" s="30"/>
    </row>
    <row r="43" spans="1:7" ht="17.25">
      <c r="A43" s="37" t="s">
        <v>56</v>
      </c>
      <c r="B43" s="37"/>
      <c r="C43" s="37"/>
      <c r="D43" s="37"/>
      <c r="E43" s="37"/>
      <c r="F43" s="37"/>
      <c r="G43" s="30">
        <f>1813.27+1165.39+1879.76</f>
        <v>4858.42</v>
      </c>
    </row>
    <row r="44" spans="1:7" ht="17.25" hidden="1">
      <c r="A44" s="37" t="s">
        <v>57</v>
      </c>
      <c r="B44" s="37"/>
      <c r="C44" s="37"/>
      <c r="D44" s="37"/>
      <c r="E44" s="37"/>
      <c r="F44" s="37"/>
      <c r="G44" s="30"/>
    </row>
    <row r="45" spans="1:7" ht="17.25" hidden="1">
      <c r="A45" s="37" t="s">
        <v>58</v>
      </c>
      <c r="B45" s="37"/>
      <c r="C45" s="37"/>
      <c r="D45" s="37"/>
      <c r="E45" s="37"/>
      <c r="F45" s="37"/>
      <c r="G45" s="30"/>
    </row>
    <row r="46" spans="1:7" ht="17.25">
      <c r="A46" s="37" t="s">
        <v>59</v>
      </c>
      <c r="B46" s="37"/>
      <c r="C46" s="37"/>
      <c r="D46" s="37"/>
      <c r="E46" s="37"/>
      <c r="F46" s="37"/>
      <c r="G46" s="30">
        <f>2019.34+1682.79</f>
        <v>3702.13</v>
      </c>
    </row>
    <row r="47" spans="1:7" ht="17.25">
      <c r="A47" s="37" t="s">
        <v>60</v>
      </c>
      <c r="B47" s="37"/>
      <c r="C47" s="37"/>
      <c r="D47" s="37"/>
      <c r="E47" s="37"/>
      <c r="F47" s="37"/>
      <c r="G47" s="30">
        <f>757.02+42.08+42.08+42.08+1738.72+42.08</f>
        <v>2664.06</v>
      </c>
    </row>
    <row r="48" spans="1:7" ht="17.25">
      <c r="A48" s="37" t="s">
        <v>61</v>
      </c>
      <c r="B48" s="37"/>
      <c r="C48" s="37"/>
      <c r="D48" s="37"/>
      <c r="E48" s="37"/>
      <c r="F48" s="37"/>
      <c r="G48" s="30">
        <f>1071.5+658.08+17640.39</f>
        <v>19369.97</v>
      </c>
    </row>
    <row r="49" spans="1:7" ht="17.25">
      <c r="A49" s="37" t="s">
        <v>62</v>
      </c>
      <c r="B49" s="37"/>
      <c r="C49" s="37"/>
      <c r="D49" s="37"/>
      <c r="E49" s="37"/>
      <c r="F49" s="37"/>
      <c r="G49" s="30">
        <v>5235.52</v>
      </c>
    </row>
    <row r="50" spans="1:7" ht="17.25" hidden="1">
      <c r="A50" s="37" t="s">
        <v>63</v>
      </c>
      <c r="B50" s="37"/>
      <c r="C50" s="37"/>
      <c r="D50" s="37"/>
      <c r="E50" s="37"/>
      <c r="F50" s="37"/>
      <c r="G50" s="30"/>
    </row>
    <row r="51" spans="1:7" ht="17.25">
      <c r="A51" s="37" t="s">
        <v>64</v>
      </c>
      <c r="B51" s="37"/>
      <c r="C51" s="37"/>
      <c r="D51" s="37"/>
      <c r="E51" s="37"/>
      <c r="F51" s="37"/>
      <c r="G51" s="30"/>
    </row>
    <row r="52" spans="1:7" ht="17.25">
      <c r="A52" s="37" t="s">
        <v>65</v>
      </c>
      <c r="B52" s="37"/>
      <c r="C52" s="37"/>
      <c r="D52" s="37"/>
      <c r="E52" s="37"/>
      <c r="F52" s="37"/>
      <c r="G52" s="30">
        <v>2153.9</v>
      </c>
    </row>
    <row r="53" spans="1:7" ht="15.75" customHeight="1" hidden="1">
      <c r="A53" s="37" t="s">
        <v>66</v>
      </c>
      <c r="B53" s="37"/>
      <c r="C53" s="37"/>
      <c r="D53" s="37"/>
      <c r="E53" s="37"/>
      <c r="F53" s="37"/>
      <c r="G53" s="30"/>
    </row>
    <row r="54" spans="1:7" ht="15.75" customHeight="1" hidden="1">
      <c r="A54" s="37" t="s">
        <v>67</v>
      </c>
      <c r="B54" s="37"/>
      <c r="C54" s="37"/>
      <c r="D54" s="37"/>
      <c r="E54" s="37"/>
      <c r="F54" s="37"/>
      <c r="G54" s="30"/>
    </row>
    <row r="55" spans="1:7" ht="18.75" customHeight="1">
      <c r="A55" s="38" t="s">
        <v>68</v>
      </c>
      <c r="B55" s="38"/>
      <c r="C55" s="38"/>
      <c r="D55" s="38"/>
      <c r="E55" s="38"/>
      <c r="F55" s="38"/>
      <c r="G55" s="34">
        <f>G41+G42+G43+G44+G45+G46+G47+G48+G49+G50+G51+G52+G53+G54</f>
        <v>41530.030000000006</v>
      </c>
    </row>
    <row r="56" spans="1:7" ht="17.25" customHeight="1">
      <c r="A56" s="38" t="s">
        <v>69</v>
      </c>
      <c r="B56" s="38"/>
      <c r="C56" s="38"/>
      <c r="D56" s="38"/>
      <c r="E56" s="38"/>
      <c r="F56" s="38"/>
      <c r="G56" s="34">
        <f>G37+G55</f>
        <v>256359.29819137685</v>
      </c>
    </row>
    <row r="57" spans="1:7" ht="17.25">
      <c r="A57" s="29" t="s">
        <v>70</v>
      </c>
      <c r="B57" s="29"/>
      <c r="C57" s="29"/>
      <c r="D57" s="29"/>
      <c r="E57" s="29"/>
      <c r="F57" s="29"/>
      <c r="G57" s="30">
        <v>0</v>
      </c>
    </row>
    <row r="58" spans="1:7" ht="15.75" customHeight="1">
      <c r="A58" s="40" t="s">
        <v>71</v>
      </c>
      <c r="B58" s="40"/>
      <c r="C58" s="40"/>
      <c r="D58" s="40"/>
      <c r="E58" s="40"/>
      <c r="F58" s="40"/>
      <c r="G58" s="34">
        <f>B3*B4*2+B3*B5*2+B3*B6*5+B3*B7*1+G59</f>
        <v>268867.85199999996</v>
      </c>
    </row>
    <row r="59" spans="1:7" ht="15.75" customHeight="1">
      <c r="A59" s="41" t="s">
        <v>113</v>
      </c>
      <c r="B59" s="41"/>
      <c r="C59" s="41"/>
      <c r="D59" s="41"/>
      <c r="E59" s="41"/>
      <c r="F59" s="41"/>
      <c r="G59" s="34">
        <f>160*1*12+141.6*1*12+269*1*12</f>
        <v>6847.2</v>
      </c>
    </row>
    <row r="60" spans="1:7" ht="19.5" customHeight="1">
      <c r="A60" s="42" t="s">
        <v>73</v>
      </c>
      <c r="B60" s="42"/>
      <c r="C60" s="42"/>
      <c r="D60" s="42"/>
      <c r="E60" s="42"/>
      <c r="F60" s="42"/>
      <c r="G60" s="47">
        <v>19615.61</v>
      </c>
    </row>
    <row r="61" spans="1:7" ht="54.75" customHeight="1">
      <c r="A61" s="44" t="s">
        <v>107</v>
      </c>
      <c r="B61" s="44"/>
      <c r="C61" s="44"/>
      <c r="D61" s="44"/>
      <c r="E61" s="44"/>
      <c r="F61" s="44"/>
      <c r="G61" s="45">
        <f>G56-G58+G60-G57</f>
        <v>7107.056191376891</v>
      </c>
    </row>
    <row r="65" ht="15.75">
      <c r="A65"/>
    </row>
    <row r="66" ht="15.75">
      <c r="A66" s="53" t="s">
        <v>75</v>
      </c>
    </row>
  </sheetData>
  <sheetProtection selectLockedCells="1" selectUnlockedCells="1"/>
  <mergeCells count="48">
    <mergeCell ref="A1:G1"/>
    <mergeCell ref="B2:E2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2015-04-01T05:02:14Z</cp:lastPrinted>
  <dcterms:modified xsi:type="dcterms:W3CDTF">2015-04-01T07:34:21Z</dcterms:modified>
  <cp:category/>
  <cp:version/>
  <cp:contentType/>
  <cp:contentStatus/>
  <cp:revision>345</cp:revision>
</cp:coreProperties>
</file>