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2" activeTab="27"/>
  </bookViews>
  <sheets>
    <sheet name="Доват,5а" sheetId="1" r:id="rId1"/>
    <sheet name="Доват,10б" sheetId="2" r:id="rId2"/>
    <sheet name="Доват,16" sheetId="3" r:id="rId3"/>
    <sheet name="Доват,16а" sheetId="4" r:id="rId4"/>
    <sheet name="Механиз,1" sheetId="5" r:id="rId5"/>
    <sheet name="Механ,2" sheetId="6" r:id="rId6"/>
    <sheet name="Механ,3" sheetId="7" r:id="rId7"/>
    <sheet name="Механ,3а" sheetId="8" r:id="rId8"/>
    <sheet name="Механ,4" sheetId="9" r:id="rId9"/>
    <sheet name="Механ,5" sheetId="10" r:id="rId10"/>
    <sheet name="Механ,6" sheetId="11" r:id="rId11"/>
    <sheet name="Папина,2в" sheetId="12" r:id="rId12"/>
    <sheet name="Папина,6" sheetId="13" r:id="rId13"/>
    <sheet name="Папина,8" sheetId="14" r:id="rId14"/>
    <sheet name="Папин,13" sheetId="15" r:id="rId15"/>
    <sheet name="Папин,15" sheetId="16" r:id="rId16"/>
    <sheet name="Папин,17" sheetId="17" r:id="rId17"/>
    <sheet name="Папин,17б" sheetId="18" r:id="rId18"/>
    <sheet name="Папин,19б" sheetId="19" r:id="rId19"/>
    <sheet name="Папин,21" sheetId="20" r:id="rId20"/>
    <sheet name="Папин,21-2" sheetId="21" r:id="rId21"/>
    <sheet name="Папин,21-3" sheetId="22" r:id="rId22"/>
    <sheet name="Папин,23-2" sheetId="23" r:id="rId23"/>
    <sheet name="Папин,25" sheetId="24" r:id="rId24"/>
    <sheet name="Папин,27" sheetId="25" r:id="rId25"/>
    <sheet name="Папин,29" sheetId="26" r:id="rId26"/>
    <sheet name="Папин,29а" sheetId="27" r:id="rId27"/>
    <sheet name="Папин,31" sheetId="28" r:id="rId28"/>
    <sheet name="Папин,31а" sheetId="29" r:id="rId29"/>
    <sheet name="Папин,31б" sheetId="30" r:id="rId30"/>
    <sheet name="Папин,33" sheetId="31" r:id="rId31"/>
    <sheet name="Папин,35" sheetId="32" r:id="rId32"/>
    <sheet name="Пап,39" sheetId="33" r:id="rId33"/>
    <sheet name="пр.Победы,16" sheetId="34" r:id="rId34"/>
    <sheet name="пр.Поб,18" sheetId="35" r:id="rId35"/>
    <sheet name="пр.Побед,72" sheetId="36" r:id="rId36"/>
    <sheet name="пр.Побед,74" sheetId="37" r:id="rId37"/>
    <sheet name="пр.Побед,88" sheetId="38" r:id="rId38"/>
    <sheet name="пр.Побед,90" sheetId="39" r:id="rId39"/>
    <sheet name="пр.Побед,92" sheetId="40" r:id="rId40"/>
    <sheet name="пр.Побед,92а" sheetId="41" r:id="rId41"/>
    <sheet name="пр.Поб,94" sheetId="42" r:id="rId42"/>
    <sheet name="пр.Побед,98" sheetId="43" r:id="rId43"/>
    <sheet name="пр.Побед,98а" sheetId="44" r:id="rId44"/>
    <sheet name="пр.Побед,102" sheetId="45" r:id="rId45"/>
    <sheet name="Хмельн,1а" sheetId="46" r:id="rId46"/>
    <sheet name="Хмельн,2" sheetId="47" r:id="rId47"/>
    <sheet name="Хмельн,3" sheetId="48" r:id="rId48"/>
    <sheet name="Хмельн,3а" sheetId="49" r:id="rId49"/>
    <sheet name="Хмельн,4" sheetId="50" r:id="rId50"/>
    <sheet name="Хмельн,6" sheetId="51" r:id="rId51"/>
  </sheets>
  <definedNames/>
  <calcPr fullCalcOnLoad="1"/>
</workbook>
</file>

<file path=xl/sharedStrings.xml><?xml version="1.0" encoding="utf-8"?>
<sst xmlns="http://schemas.openxmlformats.org/spreadsheetml/2006/main" count="3773" uniqueCount="150">
  <si>
    <t>Отчет ООО "ЛУК" по управлению многоквартирным домом за 2013 год.</t>
  </si>
  <si>
    <t>адрес:</t>
  </si>
  <si>
    <t>ул. Доватора, д. 5 "а"</t>
  </si>
  <si>
    <t>кол-во этажей:</t>
  </si>
  <si>
    <t>площадь дома, м2:</t>
  </si>
  <si>
    <t>кол-во подъездов:</t>
  </si>
  <si>
    <t>тариф:</t>
  </si>
  <si>
    <t>без лестниц</t>
  </si>
  <si>
    <t>год постройки:</t>
  </si>
  <si>
    <t>с 01.09.2013г</t>
  </si>
  <si>
    <t>убор.пл. лест.клет.</t>
  </si>
  <si>
    <t>не убирается 1-й п-д (-69,4)</t>
  </si>
  <si>
    <t>убороч.пл.лифтов</t>
  </si>
  <si>
    <t>площадь дворов.территории</t>
  </si>
  <si>
    <t>асф.лето</t>
  </si>
  <si>
    <t>грунт-лето</t>
  </si>
  <si>
    <t>асфальт-зима</t>
  </si>
  <si>
    <t>грунт-зима</t>
  </si>
  <si>
    <t>мусоропровод</t>
  </si>
  <si>
    <t>пл.подв. и 1этажа</t>
  </si>
  <si>
    <t>Вентканалы</t>
  </si>
  <si>
    <t>кухня</t>
  </si>
  <si>
    <t>ванна</t>
  </si>
  <si>
    <t>туалет</t>
  </si>
  <si>
    <t>кол-во вентканалов</t>
  </si>
  <si>
    <t>кол-во дымоходов</t>
  </si>
  <si>
    <t>Содержание общедомового имущества.</t>
  </si>
  <si>
    <t xml:space="preserve">сумма, руб. </t>
  </si>
  <si>
    <t>Содержание лестничных клеток</t>
  </si>
  <si>
    <t>Содержание лифта</t>
  </si>
  <si>
    <t>Содержание мусоропровода</t>
  </si>
  <si>
    <t>Уборка дворовой территории</t>
  </si>
  <si>
    <t>Покупка талонов и вывоз КГМ,посыпка пескосоляной смесью, мехуборка</t>
  </si>
  <si>
    <t>Проведение дератизации и дезинсекции (плановая и заявочная обработка)</t>
  </si>
  <si>
    <t>ОАО "Липецкгаз" (обслуживание газопровода)</t>
  </si>
  <si>
    <t>МУП "АДС" (аварийно-диспетчерское обслуживание)</t>
  </si>
  <si>
    <t>ООО "Липецк-Лифт" (техническое обслуживание лифта)</t>
  </si>
  <si>
    <t>ООО ИЦ "Лифт-Эксперт" (диагностирование и экспертиза лифтов)</t>
  </si>
  <si>
    <t>Страхование лифта</t>
  </si>
  <si>
    <t>Обслуживание общедомовых приборов учета</t>
  </si>
  <si>
    <t>Обслуживание АТП</t>
  </si>
  <si>
    <t>Обслуживание насосных станций подкачки</t>
  </si>
  <si>
    <t>МУ АТИ (обследование дома)</t>
  </si>
  <si>
    <t>ЗАО "ЭкоПром-Липецк" (вывоз ТБО)</t>
  </si>
  <si>
    <t>Проверка вентканалов и дымоходов</t>
  </si>
  <si>
    <t>МУП "РВЦЛ" (начисление, печать, доставка квитанций)</t>
  </si>
  <si>
    <t>РКО (расчетно-кассовое обслуживание)</t>
  </si>
  <si>
    <t>ГУК (содержание аппарата управления)</t>
  </si>
  <si>
    <t xml:space="preserve">ИТОГО: </t>
  </si>
  <si>
    <t>Техническое обслуживание и ремонт общедомового имущества.</t>
  </si>
  <si>
    <t xml:space="preserve">Плановая сумма </t>
  </si>
  <si>
    <t>Фактически оказано услуг в т.ч.</t>
  </si>
  <si>
    <t>Отопление</t>
  </si>
  <si>
    <t>Горячее водоснабжение</t>
  </si>
  <si>
    <t>Холодное водоснабжение</t>
  </si>
  <si>
    <t>Панельные швы</t>
  </si>
  <si>
    <t>Профремонт подъездов</t>
  </si>
  <si>
    <t>Общестроительные работы</t>
  </si>
  <si>
    <t>Электромонтажные работы</t>
  </si>
  <si>
    <t>Канализация</t>
  </si>
  <si>
    <t>Благоустройство</t>
  </si>
  <si>
    <t>Ремонт квартир</t>
  </si>
  <si>
    <t>Кровельные работы</t>
  </si>
  <si>
    <t>Заявочный ремонт</t>
  </si>
  <si>
    <t>Очистка подвалов и чердаков</t>
  </si>
  <si>
    <t>Контрольные снятия показаний индивидуальных  и общедомовых приборов учета</t>
  </si>
  <si>
    <t xml:space="preserve">ИТОГО </t>
  </si>
  <si>
    <t>ВСЕГО оказано услуг и выполнено работ на сумму</t>
  </si>
  <si>
    <t>Возврат денежных средств за снижение качества оказанных услуг</t>
  </si>
  <si>
    <t>Размещение оборудования (интернет)</t>
  </si>
  <si>
    <t xml:space="preserve">Плановая сумма по тарифу </t>
  </si>
  <si>
    <t>Задолженность по оплате за жилье на 01.01.2014г.</t>
  </si>
  <si>
    <t>Финансовый итог  ("+" перевыполнили, "-" недовыполнили)  Фин. итог  =  всего оказано услуг - плановая сумма по тарифу + задолженность - возврат за снижение качества оказанных услуг (при наличии)</t>
  </si>
  <si>
    <t xml:space="preserve"> адрес:</t>
  </si>
  <si>
    <t>ул. Доватора, 10 б</t>
  </si>
  <si>
    <t xml:space="preserve"> площадь дома, м2</t>
  </si>
  <si>
    <t xml:space="preserve"> тариф:</t>
  </si>
  <si>
    <t>с 01.01.- 31.05.2010г</t>
  </si>
  <si>
    <t>шт</t>
  </si>
  <si>
    <t>заварен</t>
  </si>
  <si>
    <t>Финансовый итог  ("+" перевыполнили, "-" недовыполнили)                                               Фин. итог  =  всего оказано услуг - плановая сумма по тарифу + задолженность -                 - возврат за снижение качества оказанных услуг (при наличии)</t>
  </si>
  <si>
    <t>ул. Доватора, д. 16</t>
  </si>
  <si>
    <t>Финансовый итог  ("+" перевыполнили, "-" недовыполнили)                                               Фин. итог  =  всего оказано услуг - плановая сумма по тарифу + задолженность -                        - возврат за снижение качества оказанных услуг (при наличии)</t>
  </si>
  <si>
    <t>ул. Доватора, д. 16 а</t>
  </si>
  <si>
    <t>ул. Механизаторов, д. 1</t>
  </si>
  <si>
    <t>ул. Механизаторов, д. 2</t>
  </si>
  <si>
    <t>ул. Механизаторов, д. 3</t>
  </si>
  <si>
    <t>ул. Механизаторов, д. 3а</t>
  </si>
  <si>
    <t>ул. Механизаторов, д. 4</t>
  </si>
  <si>
    <t>ул. Механизаторов, д. 5</t>
  </si>
  <si>
    <t>ул. Механизаторов, д. 6</t>
  </si>
  <si>
    <t>ул. Папина, д. 2"В"</t>
  </si>
  <si>
    <t>ул. Папина, д. 6</t>
  </si>
  <si>
    <t>9, 10</t>
  </si>
  <si>
    <t>Финансовый итог  ("+" перевыполнили, "-" недовыполнили)      Фин. итог  =  всего оказано услуг - плановая сумма по тарифу + задолженность - возврат за снижение качества оказанных услуг (при наличии)</t>
  </si>
  <si>
    <t>ул. Папина, д. 8</t>
  </si>
  <si>
    <t>заварен на 01.01.2010</t>
  </si>
  <si>
    <t>ул. Папина, д. 13</t>
  </si>
  <si>
    <t>ул. Папина, д. 15</t>
  </si>
  <si>
    <t>ул. Папина, д. 17</t>
  </si>
  <si>
    <t>ул. Папина, д. 17"Б"</t>
  </si>
  <si>
    <t>Отчет ООО ЛУК"Центральная" по управлению многоквартирным домом за 2013 год.</t>
  </si>
  <si>
    <t>ул. Папина, д. 19"Б"</t>
  </si>
  <si>
    <t>ул. Папина, д. 21</t>
  </si>
  <si>
    <t>ул. Папина, д. 21/2</t>
  </si>
  <si>
    <t>ул. Папина, д. 21/3</t>
  </si>
  <si>
    <t>ул. Папина, д. 23/2</t>
  </si>
  <si>
    <t>ул. Папина, д. 25</t>
  </si>
  <si>
    <t>ул. Папина, д. 27</t>
  </si>
  <si>
    <t>ул. Папина, д. 29</t>
  </si>
  <si>
    <t>не уборка 8 п-да</t>
  </si>
  <si>
    <t>ул. Папина, д. 29а</t>
  </si>
  <si>
    <t>шт.</t>
  </si>
  <si>
    <t>ул. Папина, д. 31</t>
  </si>
  <si>
    <t>с 01.09.2013г по 31.12.2013г</t>
  </si>
  <si>
    <t>Финансовый итог  ("+" перевыполнили, "-" недовыполнили) Фин. итог  =  всего оказано услуг - плановая сумма по тарифу + задолженность - возврат за снижение качества оказанных услуг (при наличии)</t>
  </si>
  <si>
    <t>Отчет ООО "ЛУК" по управлению многоквартирным домом с 1 сентября 2013 год по 31 марта  2014г</t>
  </si>
  <si>
    <t xml:space="preserve">Начальник ОэиП </t>
  </si>
  <si>
    <t>Лексина Е.В.</t>
  </si>
  <si>
    <t>ул. Папина, д. 31 а</t>
  </si>
  <si>
    <t>ул. Папина, д. 31 б</t>
  </si>
  <si>
    <t>ул. Папина, д. 33</t>
  </si>
  <si>
    <t>ул. Папина, д. 35</t>
  </si>
  <si>
    <t>ул. Папина, д. 39</t>
  </si>
  <si>
    <t>Финансовый итог  ("+" перевыполнили, "-" недовыполнили)    Фин. итог  =  всего оказано услуг - плановая сумма по тарифу + задолженность - возврат за снижение качества оказанных услуг (при наличии)</t>
  </si>
  <si>
    <t>пр. Победы, д. 16</t>
  </si>
  <si>
    <t>не убирается 1-й п-д</t>
  </si>
  <si>
    <t>пр. Победы, д. 18</t>
  </si>
  <si>
    <t>пр. Победы, д. 72</t>
  </si>
  <si>
    <t>Ремонт фасада</t>
  </si>
  <si>
    <t>пр. Победы, д. 74</t>
  </si>
  <si>
    <t>Отчет ООО"ЛУК" по управлению многоквартирным домом за 2013 год.</t>
  </si>
  <si>
    <t>пр. Победы, д. 88</t>
  </si>
  <si>
    <t>пр. Победы, д. 90</t>
  </si>
  <si>
    <t>пр. Победы, д. 92</t>
  </si>
  <si>
    <t>Исп. Корнев Р.Ю</t>
  </si>
  <si>
    <t>пр. Победы, 92а</t>
  </si>
  <si>
    <t>пр. Победы, д. 94</t>
  </si>
  <si>
    <t>пр. Победы, д. 98</t>
  </si>
  <si>
    <t>пр. Победы, д. 98а</t>
  </si>
  <si>
    <t>пр. Победы, д. 102</t>
  </si>
  <si>
    <t>заварен на 01.01.2010г</t>
  </si>
  <si>
    <t>ул. Богдана Хмельницкого, 1А</t>
  </si>
  <si>
    <t>ул. Богдана Хмельницкого, 2</t>
  </si>
  <si>
    <t>ул. Богдана Хмельницкого, 3</t>
  </si>
  <si>
    <t>Финансовый итог  ("+" перевыполнили, "-" недовыполнили)    Фин. итог  =  всего оказано услуг - плановая сумма по тарифу + задолженность  - возврат за снижение качества оказанных услуг (при наличии)</t>
  </si>
  <si>
    <t>ул. Богдана Хмельницкого, 3А</t>
  </si>
  <si>
    <t>ул. Богдана Хмельницкого, 4</t>
  </si>
  <si>
    <t>с 01.092.2013г</t>
  </si>
  <si>
    <t>ул. Богдана Хмельницкого, 6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</si>
</sst>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7"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1" fillId="0" borderId="1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2" xfId="0" applyFont="1" applyFill="1" applyBorder="1" applyAlignment="1">
      <alignment/>
    </xf>
    <xf numFmtId="164" fontId="2" fillId="0" borderId="0" xfId="0" applyFont="1" applyFill="1" applyBorder="1" applyAlignment="1">
      <alignment horizontal="center" wrapText="1"/>
    </xf>
    <xf numFmtId="164" fontId="3" fillId="0" borderId="0" xfId="0" applyFont="1" applyFill="1" applyAlignment="1">
      <alignment/>
    </xf>
    <xf numFmtId="164" fontId="3" fillId="0" borderId="0" xfId="0" applyFont="1" applyFill="1" applyBorder="1" applyAlignment="1">
      <alignment/>
    </xf>
    <xf numFmtId="164" fontId="4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3" fillId="0" borderId="0" xfId="0" applyFont="1" applyFill="1" applyAlignment="1">
      <alignment horizontal="right"/>
    </xf>
    <xf numFmtId="164" fontId="4" fillId="0" borderId="0" xfId="0" applyFont="1" applyFill="1" applyAlignment="1">
      <alignment horizontal="center"/>
    </xf>
    <xf numFmtId="164" fontId="3" fillId="0" borderId="1" xfId="0" applyFont="1" applyFill="1" applyBorder="1" applyAlignment="1">
      <alignment/>
    </xf>
    <xf numFmtId="164" fontId="5" fillId="0" borderId="1" xfId="0" applyFont="1" applyFill="1" applyBorder="1" applyAlignment="1">
      <alignment/>
    </xf>
    <xf numFmtId="164" fontId="4" fillId="2" borderId="0" xfId="0" applyFont="1" applyFill="1" applyAlignment="1">
      <alignment/>
    </xf>
    <xf numFmtId="164" fontId="1" fillId="2" borderId="3" xfId="0" applyFont="1" applyFill="1" applyBorder="1" applyAlignment="1">
      <alignment/>
    </xf>
    <xf numFmtId="164" fontId="1" fillId="2" borderId="0" xfId="0" applyFont="1" applyFill="1" applyAlignment="1">
      <alignment/>
    </xf>
    <xf numFmtId="164" fontId="1" fillId="2" borderId="1" xfId="0" applyFont="1" applyFill="1" applyBorder="1" applyAlignment="1">
      <alignment/>
    </xf>
    <xf numFmtId="164" fontId="4" fillId="2" borderId="0" xfId="0" applyFont="1" applyFill="1" applyAlignment="1">
      <alignment wrapText="1"/>
    </xf>
    <xf numFmtId="164" fontId="1" fillId="2" borderId="1" xfId="0" applyFont="1" applyFill="1" applyBorder="1" applyAlignment="1">
      <alignment horizontal="center" wrapText="1"/>
    </xf>
    <xf numFmtId="164" fontId="1" fillId="2" borderId="4" xfId="0" applyFont="1" applyFill="1" applyBorder="1" applyAlignment="1">
      <alignment/>
    </xf>
    <xf numFmtId="164" fontId="1" fillId="2" borderId="1" xfId="0" applyFont="1" applyFill="1" applyBorder="1" applyAlignment="1">
      <alignment horizontal="center"/>
    </xf>
    <xf numFmtId="164" fontId="1" fillId="2" borderId="5" xfId="0" applyFont="1" applyFill="1" applyBorder="1" applyAlignment="1">
      <alignment horizontal="center" wrapText="1"/>
    </xf>
    <xf numFmtId="164" fontId="4" fillId="2" borderId="0" xfId="0" applyFont="1" applyFill="1" applyAlignment="1">
      <alignment/>
    </xf>
    <xf numFmtId="164" fontId="1" fillId="2" borderId="4" xfId="0" applyFont="1" applyFill="1" applyBorder="1" applyAlignment="1">
      <alignment horizontal="center"/>
    </xf>
    <xf numFmtId="164" fontId="1" fillId="2" borderId="6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4" fontId="1" fillId="0" borderId="1" xfId="0" applyFont="1" applyFill="1" applyBorder="1" applyAlignment="1">
      <alignment wrapText="1"/>
    </xf>
    <xf numFmtId="165" fontId="1" fillId="0" borderId="4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4" fontId="5" fillId="0" borderId="1" xfId="0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left" indent="2"/>
    </xf>
    <xf numFmtId="164" fontId="1" fillId="3" borderId="1" xfId="0" applyFont="1" applyFill="1" applyBorder="1" applyAlignment="1">
      <alignment horizontal="left" indent="2"/>
    </xf>
    <xf numFmtId="165" fontId="1" fillId="3" borderId="1" xfId="0" applyNumberFormat="1" applyFont="1" applyFill="1" applyBorder="1" applyAlignment="1">
      <alignment/>
    </xf>
    <xf numFmtId="164" fontId="1" fillId="3" borderId="0" xfId="0" applyFont="1" applyFill="1" applyAlignment="1">
      <alignment/>
    </xf>
    <xf numFmtId="164" fontId="1" fillId="3" borderId="1" xfId="0" applyFont="1" applyFill="1" applyBorder="1" applyAlignment="1">
      <alignment/>
    </xf>
    <xf numFmtId="164" fontId="1" fillId="3" borderId="0" xfId="0" applyFont="1" applyFill="1" applyBorder="1" applyAlignment="1">
      <alignment/>
    </xf>
    <xf numFmtId="164" fontId="1" fillId="3" borderId="2" xfId="0" applyFont="1" applyFill="1" applyBorder="1" applyAlignment="1">
      <alignment/>
    </xf>
    <xf numFmtId="164" fontId="1" fillId="0" borderId="1" xfId="0" applyFont="1" applyFill="1" applyBorder="1" applyAlignment="1">
      <alignment horizontal="left"/>
    </xf>
    <xf numFmtId="164" fontId="5" fillId="0" borderId="1" xfId="0" applyFont="1" applyFill="1" applyBorder="1" applyAlignment="1">
      <alignment/>
    </xf>
    <xf numFmtId="164" fontId="6" fillId="0" borderId="1" xfId="0" applyFont="1" applyFill="1" applyBorder="1" applyAlignment="1">
      <alignment/>
    </xf>
    <xf numFmtId="165" fontId="6" fillId="0" borderId="1" xfId="0" applyNumberFormat="1" applyFont="1" applyFill="1" applyBorder="1" applyAlignment="1">
      <alignment/>
    </xf>
    <xf numFmtId="164" fontId="3" fillId="0" borderId="0" xfId="0" applyFont="1" applyFill="1" applyAlignment="1">
      <alignment horizontal="center"/>
    </xf>
    <xf numFmtId="166" fontId="5" fillId="0" borderId="1" xfId="0" applyNumberFormat="1" applyFont="1" applyFill="1" applyBorder="1" applyAlignment="1">
      <alignment/>
    </xf>
    <xf numFmtId="164" fontId="4" fillId="2" borderId="7" xfId="0" applyFont="1" applyFill="1" applyBorder="1" applyAlignment="1">
      <alignment horizontal="left" vertical="center"/>
    </xf>
    <xf numFmtId="164" fontId="2" fillId="4" borderId="0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AT59"/>
  <sheetViews>
    <sheetView zoomScale="75" zoomScaleNormal="75" workbookViewId="0" topLeftCell="A1">
      <pane ySplit="65535" topLeftCell="A1" activePane="topLeft" state="split"/>
      <selection pane="topLeft" activeCell="A60" activeCellId="1" sqref="A77:G138 A60"/>
      <selection pane="bottomLeft" activeCell="A1" sqref="A1"/>
    </sheetView>
  </sheetViews>
  <sheetFormatPr defaultColWidth="9.140625" defaultRowHeight="12.75"/>
  <cols>
    <col min="1" max="1" width="23.8515625" style="1" customWidth="1"/>
    <col min="2" max="2" width="11.57421875" style="1" customWidth="1"/>
    <col min="3" max="5" width="9.140625" style="1" customWidth="1"/>
    <col min="6" max="6" width="21.421875" style="1" customWidth="1"/>
    <col min="7" max="7" width="15.8515625" style="1" customWidth="1"/>
    <col min="8" max="40" width="9.140625" style="1" customWidth="1"/>
    <col min="41" max="41" width="0" style="1" hidden="1" customWidth="1"/>
    <col min="42" max="44" width="0" style="2" hidden="1" customWidth="1"/>
    <col min="45" max="45" width="0" style="3" hidden="1" customWidth="1"/>
    <col min="46" max="46" width="0" style="4" hidden="1" customWidth="1"/>
    <col min="47" max="48" width="0" style="1" hidden="1" customWidth="1"/>
    <col min="49" max="16384" width="9.140625" style="1" customWidth="1"/>
  </cols>
  <sheetData>
    <row r="1" spans="1:7" ht="39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2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4</v>
      </c>
      <c r="B3" s="10">
        <v>2994.7</v>
      </c>
      <c r="F3" s="8" t="s">
        <v>5</v>
      </c>
      <c r="G3" s="11">
        <v>4</v>
      </c>
    </row>
    <row r="4" spans="1:7" ht="18.75">
      <c r="A4" s="12" t="s">
        <v>6</v>
      </c>
      <c r="B4" s="13">
        <v>9.96</v>
      </c>
      <c r="C4" s="1" t="s">
        <v>7</v>
      </c>
      <c r="F4" s="8" t="s">
        <v>8</v>
      </c>
      <c r="G4" s="9">
        <v>1979</v>
      </c>
    </row>
    <row r="5" spans="1:3" ht="16.5" customHeight="1">
      <c r="A5" s="12" t="s">
        <v>6</v>
      </c>
      <c r="B5" s="13">
        <v>11.3</v>
      </c>
      <c r="C5" s="1" t="s">
        <v>9</v>
      </c>
    </row>
    <row r="6" spans="1:7" ht="18.75" hidden="1">
      <c r="A6" s="14" t="s">
        <v>10</v>
      </c>
      <c r="B6" s="15">
        <v>208.2</v>
      </c>
      <c r="C6" s="16" t="s">
        <v>11</v>
      </c>
      <c r="D6" s="16"/>
      <c r="E6" s="16"/>
      <c r="F6" s="16"/>
      <c r="G6" s="16"/>
    </row>
    <row r="7" spans="1:7" ht="18.75" hidden="1">
      <c r="A7" s="14" t="s">
        <v>12</v>
      </c>
      <c r="B7" s="17">
        <v>0</v>
      </c>
      <c r="C7" s="16"/>
      <c r="D7" s="16"/>
      <c r="E7" s="16"/>
      <c r="F7" s="16"/>
      <c r="G7" s="16"/>
    </row>
    <row r="8" spans="1:7" ht="38.25" customHeight="1" hidden="1">
      <c r="A8" s="18" t="s">
        <v>13</v>
      </c>
      <c r="B8" s="19" t="s">
        <v>14</v>
      </c>
      <c r="C8" s="19" t="s">
        <v>15</v>
      </c>
      <c r="D8" s="19" t="s">
        <v>16</v>
      </c>
      <c r="E8" s="19" t="s">
        <v>17</v>
      </c>
      <c r="F8" s="16"/>
      <c r="G8" s="16"/>
    </row>
    <row r="9" spans="1:7" ht="20.25" customHeight="1" hidden="1">
      <c r="A9" s="14"/>
      <c r="B9" s="17">
        <v>616</v>
      </c>
      <c r="C9" s="17">
        <v>986</v>
      </c>
      <c r="D9" s="17">
        <v>616</v>
      </c>
      <c r="E9" s="17">
        <v>986</v>
      </c>
      <c r="F9" s="16"/>
      <c r="G9" s="16"/>
    </row>
    <row r="10" spans="1:7" ht="18.75" hidden="1">
      <c r="A10" s="14" t="s">
        <v>18</v>
      </c>
      <c r="B10" s="20">
        <v>0</v>
      </c>
      <c r="C10" s="16"/>
      <c r="D10" s="16"/>
      <c r="E10" s="16"/>
      <c r="F10" s="16"/>
      <c r="G10" s="16"/>
    </row>
    <row r="11" spans="1:7" ht="19.5" hidden="1">
      <c r="A11" s="14" t="s">
        <v>19</v>
      </c>
      <c r="B11" s="20">
        <v>697.6</v>
      </c>
      <c r="C11" s="20">
        <v>543.5</v>
      </c>
      <c r="D11" s="20">
        <f>B11+C11</f>
        <v>1241.1</v>
      </c>
      <c r="E11" s="16"/>
      <c r="F11" s="16"/>
      <c r="G11" s="16"/>
    </row>
    <row r="12" spans="1:7" ht="50.25" customHeight="1" hidden="1">
      <c r="A12" s="14" t="s">
        <v>20</v>
      </c>
      <c r="B12" s="19" t="s">
        <v>21</v>
      </c>
      <c r="C12" s="21" t="s">
        <v>22</v>
      </c>
      <c r="D12" s="19" t="s">
        <v>23</v>
      </c>
      <c r="E12" s="22" t="s">
        <v>24</v>
      </c>
      <c r="F12" s="17" t="s">
        <v>25</v>
      </c>
      <c r="G12" s="16"/>
    </row>
    <row r="13" spans="1:7" ht="23.25" customHeight="1" hidden="1">
      <c r="A13" s="23"/>
      <c r="B13" s="24">
        <v>60</v>
      </c>
      <c r="C13" s="24">
        <v>60</v>
      </c>
      <c r="D13" s="24"/>
      <c r="E13" s="25">
        <f>D13+C13+B13</f>
        <v>120</v>
      </c>
      <c r="F13" s="17"/>
      <c r="G13" s="16"/>
    </row>
    <row r="14" spans="1:7" ht="18.75" customHeight="1">
      <c r="A14" s="26" t="s">
        <v>26</v>
      </c>
      <c r="B14" s="26"/>
      <c r="C14" s="26"/>
      <c r="D14" s="26"/>
      <c r="E14" s="26"/>
      <c r="F14" s="26"/>
      <c r="G14" s="27" t="s">
        <v>27</v>
      </c>
    </row>
    <row r="15" spans="1:7" ht="15.75">
      <c r="A15" s="28" t="s">
        <v>28</v>
      </c>
      <c r="B15" s="28"/>
      <c r="C15" s="28"/>
      <c r="D15" s="28"/>
      <c r="E15" s="28"/>
      <c r="F15" s="28"/>
      <c r="G15" s="29">
        <f>B6*8.689*4</f>
        <v>7236.1992</v>
      </c>
    </row>
    <row r="16" spans="1:7" ht="15.75" hidden="1">
      <c r="A16" s="28" t="s">
        <v>29</v>
      </c>
      <c r="B16" s="28"/>
      <c r="C16" s="28"/>
      <c r="D16" s="28"/>
      <c r="E16" s="28"/>
      <c r="F16" s="28"/>
      <c r="G16" s="29">
        <f>B7*19.03*12</f>
        <v>0</v>
      </c>
    </row>
    <row r="17" spans="1:7" ht="15.75" hidden="1">
      <c r="A17" s="28" t="s">
        <v>30</v>
      </c>
      <c r="B17" s="28"/>
      <c r="C17" s="28"/>
      <c r="D17" s="28"/>
      <c r="E17" s="28"/>
      <c r="F17" s="28"/>
      <c r="G17" s="29">
        <f>B10*0.4523*12</f>
        <v>0</v>
      </c>
    </row>
    <row r="18" spans="1:7" ht="15.75">
      <c r="A18" s="28" t="s">
        <v>31</v>
      </c>
      <c r="B18" s="28"/>
      <c r="C18" s="28"/>
      <c r="D18" s="28"/>
      <c r="E18" s="28"/>
      <c r="F18" s="28"/>
      <c r="G18" s="29">
        <f>(B9*12.84/100*64)+(C9*9.63/100*38)+(D9*32.11/100*26)+(E9*2.41/100*5)</f>
        <v>13931.7606</v>
      </c>
    </row>
    <row r="19" spans="1:7" ht="15.75" customHeight="1">
      <c r="A19" s="30" t="s">
        <v>32</v>
      </c>
      <c r="B19" s="30"/>
      <c r="C19" s="30"/>
      <c r="D19" s="30"/>
      <c r="E19" s="30"/>
      <c r="F19" s="30"/>
      <c r="G19" s="31">
        <f>574906.73/199064.79*B3</f>
        <v>8648.808181150467</v>
      </c>
    </row>
    <row r="20" spans="1:7" ht="15.75">
      <c r="A20" s="28" t="s">
        <v>33</v>
      </c>
      <c r="B20" s="28"/>
      <c r="C20" s="28"/>
      <c r="D20" s="28"/>
      <c r="E20" s="28"/>
      <c r="F20" s="28"/>
      <c r="G20" s="29">
        <f>D11*0.14*2</f>
        <v>347.508</v>
      </c>
    </row>
    <row r="21" spans="1:7" ht="15.75">
      <c r="A21" s="28" t="s">
        <v>34</v>
      </c>
      <c r="B21" s="28"/>
      <c r="C21" s="28"/>
      <c r="D21" s="28"/>
      <c r="E21" s="28"/>
      <c r="F21" s="28"/>
      <c r="G21" s="29">
        <f>95.95+3058.56+1055.39+3310.04</f>
        <v>7519.94</v>
      </c>
    </row>
    <row r="22" spans="1:7" ht="15.75">
      <c r="A22" s="28" t="s">
        <v>35</v>
      </c>
      <c r="B22" s="28"/>
      <c r="C22" s="28"/>
      <c r="D22" s="28"/>
      <c r="E22" s="28"/>
      <c r="F22" s="28"/>
      <c r="G22" s="29">
        <f>B3*0.845*4</f>
        <v>10122.086</v>
      </c>
    </row>
    <row r="23" spans="1:7" ht="15.75" hidden="1">
      <c r="A23" s="28" t="s">
        <v>36</v>
      </c>
      <c r="B23" s="28"/>
      <c r="C23" s="28"/>
      <c r="D23" s="28"/>
      <c r="E23" s="28"/>
      <c r="F23" s="28"/>
      <c r="G23" s="29">
        <v>0</v>
      </c>
    </row>
    <row r="24" spans="1:7" ht="15.75" hidden="1">
      <c r="A24" s="28" t="s">
        <v>37</v>
      </c>
      <c r="B24" s="28"/>
      <c r="C24" s="28"/>
      <c r="D24" s="28"/>
      <c r="E24" s="28"/>
      <c r="F24" s="28"/>
      <c r="G24" s="29">
        <v>0</v>
      </c>
    </row>
    <row r="25" spans="1:7" ht="15.75" hidden="1">
      <c r="A25" s="28" t="s">
        <v>38</v>
      </c>
      <c r="B25" s="28"/>
      <c r="C25" s="28"/>
      <c r="D25" s="28"/>
      <c r="E25" s="28"/>
      <c r="F25" s="28"/>
      <c r="G25" s="29">
        <v>0</v>
      </c>
    </row>
    <row r="26" spans="1:7" ht="15.75">
      <c r="A26" s="28" t="s">
        <v>39</v>
      </c>
      <c r="B26" s="28"/>
      <c r="C26" s="28"/>
      <c r="D26" s="28"/>
      <c r="E26" s="28"/>
      <c r="F26" s="28"/>
      <c r="G26" s="29">
        <f>4*251.46+4*352</f>
        <v>2413.84</v>
      </c>
    </row>
    <row r="27" spans="1:7" ht="15.75" hidden="1">
      <c r="A27" s="28" t="s">
        <v>40</v>
      </c>
      <c r="B27" s="28"/>
      <c r="C27" s="28"/>
      <c r="D27" s="28"/>
      <c r="E27" s="28"/>
      <c r="F27" s="28"/>
      <c r="G27" s="29">
        <v>0</v>
      </c>
    </row>
    <row r="28" spans="1:7" ht="15.75" hidden="1">
      <c r="A28" s="28" t="s">
        <v>41</v>
      </c>
      <c r="B28" s="28"/>
      <c r="C28" s="28"/>
      <c r="D28" s="28"/>
      <c r="E28" s="28"/>
      <c r="F28" s="28"/>
      <c r="G28" s="29">
        <v>0</v>
      </c>
    </row>
    <row r="29" spans="1:7" ht="15.75" hidden="1">
      <c r="A29" s="28" t="s">
        <v>42</v>
      </c>
      <c r="B29" s="28"/>
      <c r="C29" s="28"/>
      <c r="D29" s="28"/>
      <c r="E29" s="28"/>
      <c r="F29" s="28"/>
      <c r="G29" s="29">
        <v>0</v>
      </c>
    </row>
    <row r="30" spans="1:7" ht="15.75">
      <c r="A30" s="28" t="s">
        <v>43</v>
      </c>
      <c r="B30" s="28"/>
      <c r="C30" s="28"/>
      <c r="D30" s="28"/>
      <c r="E30" s="28"/>
      <c r="F30" s="28"/>
      <c r="G30" s="29">
        <f>B3*1.75*4</f>
        <v>20962.899999999998</v>
      </c>
    </row>
    <row r="31" spans="1:7" ht="15.75" customHeight="1">
      <c r="A31" s="30" t="s">
        <v>44</v>
      </c>
      <c r="B31" s="30"/>
      <c r="C31" s="30"/>
      <c r="D31" s="30"/>
      <c r="E31" s="30"/>
      <c r="F31" s="30"/>
      <c r="G31" s="29">
        <f>(F13*4*8.57)+(B13*2*3.14)+(C13*1*3.14)+(D13*1*3.14)</f>
        <v>565.2</v>
      </c>
    </row>
    <row r="32" spans="1:7" ht="15.75">
      <c r="A32" s="28" t="s">
        <v>45</v>
      </c>
      <c r="B32" s="28"/>
      <c r="C32" s="28"/>
      <c r="D32" s="28"/>
      <c r="E32" s="28"/>
      <c r="F32" s="28"/>
      <c r="G32" s="29">
        <f>B3*0.65*4</f>
        <v>7786.219999999999</v>
      </c>
    </row>
    <row r="33" spans="1:7" ht="15.75">
      <c r="A33" s="28" t="s">
        <v>46</v>
      </c>
      <c r="B33" s="28"/>
      <c r="C33" s="28"/>
      <c r="D33" s="28"/>
      <c r="E33" s="28"/>
      <c r="F33" s="28"/>
      <c r="G33" s="29">
        <f>B3*0.2*4</f>
        <v>2395.7599999999998</v>
      </c>
    </row>
    <row r="34" spans="1:7" ht="15.75">
      <c r="A34" s="28" t="s">
        <v>47</v>
      </c>
      <c r="B34" s="28"/>
      <c r="C34" s="28"/>
      <c r="D34" s="28"/>
      <c r="E34" s="28"/>
      <c r="F34" s="28"/>
      <c r="G34" s="29">
        <f>B3*0.7*4</f>
        <v>8385.16</v>
      </c>
    </row>
    <row r="35" spans="1:7" ht="15.75">
      <c r="A35" s="26" t="s">
        <v>48</v>
      </c>
      <c r="B35" s="26"/>
      <c r="C35" s="26"/>
      <c r="D35" s="26"/>
      <c r="E35" s="26"/>
      <c r="F35" s="26"/>
      <c r="G35" s="32">
        <f>G15+G16+G17+G18+G19+G20+G21+G22+G23+G24+G26+G30+G31+G32+G33+G34+G27+G28+G29+G25</f>
        <v>90315.38198115045</v>
      </c>
    </row>
    <row r="36" spans="1:7" ht="20.25" customHeight="1">
      <c r="A36" s="33" t="s">
        <v>49</v>
      </c>
      <c r="B36" s="33"/>
      <c r="C36" s="33"/>
      <c r="D36" s="33"/>
      <c r="E36" s="33"/>
      <c r="F36" s="33"/>
      <c r="G36" s="29"/>
    </row>
    <row r="37" spans="1:7" ht="15.75" hidden="1">
      <c r="A37" s="28" t="s">
        <v>50</v>
      </c>
      <c r="B37" s="28"/>
      <c r="C37" s="28"/>
      <c r="D37" s="28"/>
      <c r="E37" s="28"/>
      <c r="F37" s="28"/>
      <c r="G37" s="29"/>
    </row>
    <row r="38" spans="1:7" ht="15.75">
      <c r="A38" s="28" t="s">
        <v>51</v>
      </c>
      <c r="B38" s="28"/>
      <c r="C38" s="28"/>
      <c r="D38" s="28"/>
      <c r="E38" s="28"/>
      <c r="F38" s="28"/>
      <c r="G38" s="29"/>
    </row>
    <row r="39" spans="1:7" ht="15.75" hidden="1">
      <c r="A39" s="34" t="s">
        <v>52</v>
      </c>
      <c r="B39" s="34"/>
      <c r="C39" s="34"/>
      <c r="D39" s="34"/>
      <c r="E39" s="34"/>
      <c r="F39" s="34"/>
      <c r="G39" s="29"/>
    </row>
    <row r="40" spans="1:7" ht="15.75">
      <c r="A40" s="34" t="s">
        <v>53</v>
      </c>
      <c r="B40" s="34"/>
      <c r="C40" s="34"/>
      <c r="D40" s="34"/>
      <c r="E40" s="34"/>
      <c r="F40" s="34"/>
      <c r="G40" s="29">
        <v>630</v>
      </c>
    </row>
    <row r="41" spans="1:7" ht="15.75" hidden="1">
      <c r="A41" s="34" t="s">
        <v>54</v>
      </c>
      <c r="B41" s="34"/>
      <c r="C41" s="34"/>
      <c r="D41" s="34"/>
      <c r="E41" s="34"/>
      <c r="F41" s="34"/>
      <c r="G41" s="29"/>
    </row>
    <row r="42" spans="1:7" ht="15.75" hidden="1">
      <c r="A42" s="34" t="s">
        <v>55</v>
      </c>
      <c r="B42" s="34"/>
      <c r="C42" s="34"/>
      <c r="D42" s="34"/>
      <c r="E42" s="34"/>
      <c r="F42" s="34"/>
      <c r="G42" s="29"/>
    </row>
    <row r="43" spans="1:7" ht="15.75">
      <c r="A43" s="34" t="s">
        <v>56</v>
      </c>
      <c r="B43" s="34"/>
      <c r="C43" s="34"/>
      <c r="D43" s="34"/>
      <c r="E43" s="34"/>
      <c r="F43" s="34"/>
      <c r="G43" s="29">
        <v>47880</v>
      </c>
    </row>
    <row r="44" spans="1:7" ht="15.75" hidden="1">
      <c r="A44" s="34" t="s">
        <v>57</v>
      </c>
      <c r="B44" s="34"/>
      <c r="C44" s="34"/>
      <c r="D44" s="34"/>
      <c r="E44" s="34"/>
      <c r="F44" s="34"/>
      <c r="G44" s="29"/>
    </row>
    <row r="45" spans="1:7" ht="15.75">
      <c r="A45" s="34" t="s">
        <v>58</v>
      </c>
      <c r="B45" s="34"/>
      <c r="C45" s="34"/>
      <c r="D45" s="34"/>
      <c r="E45" s="34"/>
      <c r="F45" s="34"/>
      <c r="G45" s="29">
        <v>168</v>
      </c>
    </row>
    <row r="46" spans="1:7" ht="15.75" hidden="1">
      <c r="A46" s="34" t="s">
        <v>59</v>
      </c>
      <c r="B46" s="34"/>
      <c r="C46" s="34"/>
      <c r="D46" s="34"/>
      <c r="E46" s="34"/>
      <c r="F46" s="34"/>
      <c r="G46" s="29"/>
    </row>
    <row r="47" spans="1:7" ht="15.75" hidden="1">
      <c r="A47" s="34" t="s">
        <v>60</v>
      </c>
      <c r="B47" s="34"/>
      <c r="C47" s="34"/>
      <c r="D47" s="34"/>
      <c r="E47" s="34"/>
      <c r="F47" s="34"/>
      <c r="G47" s="29"/>
    </row>
    <row r="48" spans="1:7" ht="15.75" hidden="1">
      <c r="A48" s="34" t="s">
        <v>61</v>
      </c>
      <c r="B48" s="34"/>
      <c r="C48" s="34"/>
      <c r="D48" s="34"/>
      <c r="E48" s="34"/>
      <c r="F48" s="34"/>
      <c r="G48" s="29"/>
    </row>
    <row r="49" spans="1:7" ht="15.75" hidden="1">
      <c r="A49" s="34" t="s">
        <v>62</v>
      </c>
      <c r="B49" s="34"/>
      <c r="C49" s="34"/>
      <c r="D49" s="34"/>
      <c r="E49" s="34"/>
      <c r="F49" s="34"/>
      <c r="G49" s="29"/>
    </row>
    <row r="50" spans="1:7" ht="15.75">
      <c r="A50" s="34" t="s">
        <v>63</v>
      </c>
      <c r="B50" s="34"/>
      <c r="C50" s="34"/>
      <c r="D50" s="34"/>
      <c r="E50" s="34"/>
      <c r="F50" s="34"/>
      <c r="G50" s="29">
        <v>5640</v>
      </c>
    </row>
    <row r="51" spans="1:46" s="37" customFormat="1" ht="15.75" hidden="1">
      <c r="A51" s="35" t="s">
        <v>64</v>
      </c>
      <c r="B51" s="35"/>
      <c r="C51" s="35"/>
      <c r="D51" s="35"/>
      <c r="E51" s="35"/>
      <c r="F51" s="35"/>
      <c r="G51" s="36"/>
      <c r="AP51" s="38"/>
      <c r="AQ51" s="38"/>
      <c r="AR51" s="38"/>
      <c r="AS51" s="39"/>
      <c r="AT51" s="40"/>
    </row>
    <row r="52" spans="1:46" s="37" customFormat="1" ht="15.75" hidden="1">
      <c r="A52" s="35" t="s">
        <v>65</v>
      </c>
      <c r="B52" s="35"/>
      <c r="C52" s="35"/>
      <c r="D52" s="35"/>
      <c r="E52" s="35"/>
      <c r="F52" s="35"/>
      <c r="G52" s="36"/>
      <c r="AP52" s="38"/>
      <c r="AQ52" s="38"/>
      <c r="AR52" s="38"/>
      <c r="AS52" s="39"/>
      <c r="AT52" s="40"/>
    </row>
    <row r="53" spans="1:7" ht="15.75" customHeight="1">
      <c r="A53" s="33" t="s">
        <v>66</v>
      </c>
      <c r="B53" s="33"/>
      <c r="C53" s="33"/>
      <c r="D53" s="33"/>
      <c r="E53" s="33"/>
      <c r="F53" s="33"/>
      <c r="G53" s="32">
        <f>G39+G40+G41+G42+G43+G44+G45+G46+G47+G48+G49+G50+G51+G52</f>
        <v>54318</v>
      </c>
    </row>
    <row r="54" spans="1:7" ht="15.75" customHeight="1">
      <c r="A54" s="33" t="s">
        <v>67</v>
      </c>
      <c r="B54" s="33"/>
      <c r="C54" s="33"/>
      <c r="D54" s="33"/>
      <c r="E54" s="33"/>
      <c r="F54" s="33"/>
      <c r="G54" s="32">
        <f>G35+G53</f>
        <v>144633.38198115045</v>
      </c>
    </row>
    <row r="55" spans="1:7" ht="15.75" hidden="1">
      <c r="A55" s="28" t="s">
        <v>68</v>
      </c>
      <c r="B55" s="28"/>
      <c r="C55" s="28"/>
      <c r="D55" s="28"/>
      <c r="E55" s="28"/>
      <c r="F55" s="28"/>
      <c r="G55" s="29"/>
    </row>
    <row r="56" spans="1:7" ht="15.75">
      <c r="A56" s="41" t="s">
        <v>69</v>
      </c>
      <c r="B56" s="41"/>
      <c r="C56" s="41"/>
      <c r="D56" s="41"/>
      <c r="E56" s="41"/>
      <c r="F56" s="41"/>
      <c r="G56" s="29">
        <f>141.6*4+180*4</f>
        <v>1286.4</v>
      </c>
    </row>
    <row r="57" spans="1:7" ht="15.75" customHeight="1">
      <c r="A57" s="42" t="s">
        <v>70</v>
      </c>
      <c r="B57" s="42"/>
      <c r="C57" s="42"/>
      <c r="D57" s="42"/>
      <c r="E57" s="42"/>
      <c r="F57" s="42"/>
      <c r="G57" s="32">
        <f>B3*B4*4+B3*B5*4+G56</f>
        <v>255955.688</v>
      </c>
    </row>
    <row r="58" spans="1:7" ht="15.75" customHeight="1">
      <c r="A58" s="43" t="s">
        <v>71</v>
      </c>
      <c r="B58" s="43"/>
      <c r="C58" s="43"/>
      <c r="D58" s="43"/>
      <c r="E58" s="43"/>
      <c r="F58" s="43"/>
      <c r="G58" s="44">
        <v>23594.28</v>
      </c>
    </row>
    <row r="59" spans="1:7" ht="66" customHeight="1">
      <c r="A59" s="33" t="s">
        <v>72</v>
      </c>
      <c r="B59" s="33"/>
      <c r="C59" s="33"/>
      <c r="D59" s="33"/>
      <c r="E59" s="33"/>
      <c r="F59" s="33"/>
      <c r="G59" s="32">
        <f>G54-G57-G55+G58</f>
        <v>-87728.02601884954</v>
      </c>
    </row>
  </sheetData>
  <sheetProtection selectLockedCells="1" selectUnlockedCells="1"/>
  <mergeCells count="48">
    <mergeCell ref="A1:G1"/>
    <mergeCell ref="B2:E2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G59"/>
  <sheetViews>
    <sheetView zoomScale="75" zoomScaleNormal="75" workbookViewId="0" topLeftCell="A21">
      <pane ySplit="65535" topLeftCell="A21" activePane="topLeft" state="split"/>
      <selection pane="topLeft" activeCell="G58" activeCellId="1" sqref="A77:G138 G58"/>
      <selection pane="bottomLeft" activeCell="A21" sqref="A21"/>
    </sheetView>
  </sheetViews>
  <sheetFormatPr defaultColWidth="9.140625" defaultRowHeight="12.75"/>
  <cols>
    <col min="1" max="1" width="23.8515625" style="1" customWidth="1"/>
    <col min="2" max="2" width="11.57421875" style="1" customWidth="1"/>
    <col min="3" max="5" width="9.140625" style="1" customWidth="1"/>
    <col min="6" max="6" width="21.421875" style="1" customWidth="1"/>
    <col min="7" max="7" width="15.421875" style="1" customWidth="1"/>
    <col min="8" max="16384" width="9.140625" style="1" customWidth="1"/>
  </cols>
  <sheetData>
    <row r="1" spans="1:7" ht="39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89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4</v>
      </c>
      <c r="B3" s="10">
        <v>5116.6</v>
      </c>
      <c r="F3" s="8" t="s">
        <v>5</v>
      </c>
      <c r="G3" s="11">
        <v>6</v>
      </c>
    </row>
    <row r="4" spans="1:7" ht="18.75">
      <c r="A4" s="12" t="s">
        <v>6</v>
      </c>
      <c r="B4" s="13"/>
      <c r="F4" s="8" t="s">
        <v>8</v>
      </c>
      <c r="G4" s="9">
        <v>1964</v>
      </c>
    </row>
    <row r="5" spans="1:3" ht="16.5" customHeight="1">
      <c r="A5" s="12" t="s">
        <v>6</v>
      </c>
      <c r="B5" s="13">
        <v>11.3</v>
      </c>
      <c r="C5" s="1" t="s">
        <v>9</v>
      </c>
    </row>
    <row r="6" spans="1:7" ht="18.75" hidden="1">
      <c r="A6" s="14" t="s">
        <v>10</v>
      </c>
      <c r="B6" s="15">
        <v>367.8</v>
      </c>
      <c r="C6" s="16"/>
      <c r="D6" s="16"/>
      <c r="E6" s="16"/>
      <c r="F6" s="16"/>
      <c r="G6" s="16"/>
    </row>
    <row r="7" spans="1:7" ht="18.75" hidden="1">
      <c r="A7" s="14" t="s">
        <v>12</v>
      </c>
      <c r="B7" s="17">
        <v>0</v>
      </c>
      <c r="C7" s="16"/>
      <c r="D7" s="16"/>
      <c r="E7" s="16"/>
      <c r="F7" s="16"/>
      <c r="G7" s="16"/>
    </row>
    <row r="8" spans="1:7" ht="38.25" customHeight="1" hidden="1">
      <c r="A8" s="18" t="s">
        <v>13</v>
      </c>
      <c r="B8" s="19" t="s">
        <v>14</v>
      </c>
      <c r="C8" s="19" t="s">
        <v>15</v>
      </c>
      <c r="D8" s="19" t="s">
        <v>16</v>
      </c>
      <c r="E8" s="19" t="s">
        <v>17</v>
      </c>
      <c r="F8" s="16"/>
      <c r="G8" s="16"/>
    </row>
    <row r="9" spans="1:7" ht="20.25" customHeight="1" hidden="1">
      <c r="A9" s="14"/>
      <c r="B9" s="17">
        <v>685</v>
      </c>
      <c r="C9" s="17">
        <v>2495</v>
      </c>
      <c r="D9" s="17">
        <v>665</v>
      </c>
      <c r="E9" s="17">
        <v>2515</v>
      </c>
      <c r="F9" s="16"/>
      <c r="G9" s="16"/>
    </row>
    <row r="10" spans="1:7" ht="18.75" hidden="1">
      <c r="A10" s="14" t="s">
        <v>18</v>
      </c>
      <c r="B10" s="20">
        <v>0</v>
      </c>
      <c r="C10" s="16"/>
      <c r="D10" s="16"/>
      <c r="E10" s="16"/>
      <c r="F10" s="16"/>
      <c r="G10" s="16"/>
    </row>
    <row r="11" spans="1:7" ht="19.5" hidden="1">
      <c r="A11" s="14" t="s">
        <v>19</v>
      </c>
      <c r="B11" s="20">
        <v>842.1</v>
      </c>
      <c r="C11" s="20">
        <v>949.8</v>
      </c>
      <c r="D11" s="20">
        <f>B11+C11</f>
        <v>1791.9</v>
      </c>
      <c r="E11" s="16"/>
      <c r="F11" s="16"/>
      <c r="G11" s="16"/>
    </row>
    <row r="12" spans="1:7" ht="50.25" customHeight="1" hidden="1">
      <c r="A12" s="14" t="s">
        <v>20</v>
      </c>
      <c r="B12" s="19" t="s">
        <v>21</v>
      </c>
      <c r="C12" s="21" t="s">
        <v>22</v>
      </c>
      <c r="D12" s="19" t="s">
        <v>23</v>
      </c>
      <c r="E12" s="22" t="s">
        <v>24</v>
      </c>
      <c r="F12" s="17" t="s">
        <v>25</v>
      </c>
      <c r="G12" s="16"/>
    </row>
    <row r="13" spans="1:7" ht="23.25" customHeight="1" hidden="1">
      <c r="A13" s="23"/>
      <c r="B13" s="24">
        <v>120</v>
      </c>
      <c r="C13" s="24">
        <v>120</v>
      </c>
      <c r="D13" s="24"/>
      <c r="E13" s="25">
        <f>D13+C13+B13</f>
        <v>240</v>
      </c>
      <c r="F13" s="17"/>
      <c r="G13" s="16"/>
    </row>
    <row r="14" spans="1:7" ht="18.75" customHeight="1">
      <c r="A14" s="26" t="s">
        <v>26</v>
      </c>
      <c r="B14" s="26"/>
      <c r="C14" s="26"/>
      <c r="D14" s="26"/>
      <c r="E14" s="26"/>
      <c r="F14" s="26"/>
      <c r="G14" s="27" t="s">
        <v>27</v>
      </c>
    </row>
    <row r="15" spans="1:7" ht="15.75">
      <c r="A15" s="28" t="s">
        <v>28</v>
      </c>
      <c r="B15" s="28"/>
      <c r="C15" s="28"/>
      <c r="D15" s="28"/>
      <c r="E15" s="28"/>
      <c r="F15" s="28"/>
      <c r="G15" s="29">
        <f>B6*8.689*4</f>
        <v>12783.256800000001</v>
      </c>
    </row>
    <row r="16" spans="1:7" ht="15.75" hidden="1">
      <c r="A16" s="28" t="s">
        <v>29</v>
      </c>
      <c r="B16" s="28"/>
      <c r="C16" s="28"/>
      <c r="D16" s="28"/>
      <c r="E16" s="28"/>
      <c r="F16" s="28"/>
      <c r="G16" s="29">
        <f>B7*19.03*12</f>
        <v>0</v>
      </c>
    </row>
    <row r="17" spans="1:7" ht="15.75" hidden="1">
      <c r="A17" s="28" t="s">
        <v>30</v>
      </c>
      <c r="B17" s="28"/>
      <c r="C17" s="28"/>
      <c r="D17" s="28"/>
      <c r="E17" s="28"/>
      <c r="F17" s="28"/>
      <c r="G17" s="29">
        <f>B10*0.4523*12</f>
        <v>0</v>
      </c>
    </row>
    <row r="18" spans="1:7" ht="15.75">
      <c r="A18" s="28" t="s">
        <v>31</v>
      </c>
      <c r="B18" s="28"/>
      <c r="C18" s="28"/>
      <c r="D18" s="28"/>
      <c r="E18" s="28"/>
      <c r="F18" s="28"/>
      <c r="G18" s="29">
        <f>(B9*12.84/100*64)+(C9*9.63/100*38)+(D9*32.11/100*26)+(E9*2.41/100*5)</f>
        <v>20614.1355</v>
      </c>
    </row>
    <row r="19" spans="1:7" ht="15.75" customHeight="1">
      <c r="A19" s="30" t="s">
        <v>32</v>
      </c>
      <c r="B19" s="30"/>
      <c r="C19" s="30"/>
      <c r="D19" s="30"/>
      <c r="E19" s="30"/>
      <c r="F19" s="30"/>
      <c r="G19" s="31">
        <f>574906.73/199064.79*B3</f>
        <v>14776.936567827992</v>
      </c>
    </row>
    <row r="20" spans="1:7" ht="15.75">
      <c r="A20" s="28" t="s">
        <v>33</v>
      </c>
      <c r="B20" s="28"/>
      <c r="C20" s="28"/>
      <c r="D20" s="28"/>
      <c r="E20" s="28"/>
      <c r="F20" s="28"/>
      <c r="G20" s="29">
        <f>D11*0.14*2</f>
        <v>501.7320000000001</v>
      </c>
    </row>
    <row r="21" spans="1:7" ht="15.75">
      <c r="A21" s="28" t="s">
        <v>34</v>
      </c>
      <c r="B21" s="28"/>
      <c r="C21" s="28"/>
      <c r="D21" s="28"/>
      <c r="E21" s="28"/>
      <c r="F21" s="28"/>
      <c r="G21" s="29">
        <f>95.95+6117.12+1978.86+6620.08</f>
        <v>14812.009999999998</v>
      </c>
    </row>
    <row r="22" spans="1:7" ht="15.75">
      <c r="A22" s="28" t="s">
        <v>35</v>
      </c>
      <c r="B22" s="28"/>
      <c r="C22" s="28"/>
      <c r="D22" s="28"/>
      <c r="E22" s="28"/>
      <c r="F22" s="28"/>
      <c r="G22" s="29">
        <f>B3*0.845*4</f>
        <v>17294.108</v>
      </c>
    </row>
    <row r="23" spans="1:7" ht="15.75" hidden="1">
      <c r="A23" s="28" t="s">
        <v>36</v>
      </c>
      <c r="B23" s="28"/>
      <c r="C23" s="28"/>
      <c r="D23" s="28"/>
      <c r="E23" s="28"/>
      <c r="F23" s="28"/>
      <c r="G23" s="29">
        <v>0</v>
      </c>
    </row>
    <row r="24" spans="1:7" ht="15.75" hidden="1">
      <c r="A24" s="28" t="s">
        <v>37</v>
      </c>
      <c r="B24" s="28"/>
      <c r="C24" s="28"/>
      <c r="D24" s="28"/>
      <c r="E24" s="28"/>
      <c r="F24" s="28"/>
      <c r="G24" s="29">
        <v>0</v>
      </c>
    </row>
    <row r="25" spans="1:7" ht="15.75" hidden="1">
      <c r="A25" s="28" t="s">
        <v>38</v>
      </c>
      <c r="B25" s="28"/>
      <c r="C25" s="28"/>
      <c r="D25" s="28"/>
      <c r="E25" s="28"/>
      <c r="F25" s="28"/>
      <c r="G25" s="29">
        <v>0</v>
      </c>
    </row>
    <row r="26" spans="1:7" ht="15.75">
      <c r="A26" s="28" t="s">
        <v>39</v>
      </c>
      <c r="B26" s="28"/>
      <c r="C26" s="28"/>
      <c r="D26" s="28"/>
      <c r="E26" s="28"/>
      <c r="F26" s="28"/>
      <c r="G26" s="29">
        <f>4*352+4*251.46</f>
        <v>2413.84</v>
      </c>
    </row>
    <row r="27" spans="1:7" ht="15.75" hidden="1">
      <c r="A27" s="28" t="s">
        <v>40</v>
      </c>
      <c r="B27" s="28"/>
      <c r="C27" s="28"/>
      <c r="D27" s="28"/>
      <c r="E27" s="28"/>
      <c r="F27" s="28"/>
      <c r="G27" s="29">
        <v>0</v>
      </c>
    </row>
    <row r="28" spans="1:7" ht="15.75" hidden="1">
      <c r="A28" s="28" t="s">
        <v>41</v>
      </c>
      <c r="B28" s="28"/>
      <c r="C28" s="28"/>
      <c r="D28" s="28"/>
      <c r="E28" s="28"/>
      <c r="F28" s="28"/>
      <c r="G28" s="29">
        <v>0</v>
      </c>
    </row>
    <row r="29" spans="1:7" ht="15.75" hidden="1">
      <c r="A29" s="28" t="s">
        <v>42</v>
      </c>
      <c r="B29" s="28"/>
      <c r="C29" s="28"/>
      <c r="D29" s="28"/>
      <c r="E29" s="28"/>
      <c r="F29" s="28"/>
      <c r="G29" s="29">
        <v>0</v>
      </c>
    </row>
    <row r="30" spans="1:7" ht="15.75">
      <c r="A30" s="28" t="s">
        <v>43</v>
      </c>
      <c r="B30" s="28"/>
      <c r="C30" s="28"/>
      <c r="D30" s="28"/>
      <c r="E30" s="28"/>
      <c r="F30" s="28"/>
      <c r="G30" s="29">
        <f>B3*1.75*4</f>
        <v>35816.200000000004</v>
      </c>
    </row>
    <row r="31" spans="1:7" ht="15.75" customHeight="1">
      <c r="A31" s="30" t="s">
        <v>44</v>
      </c>
      <c r="B31" s="30"/>
      <c r="C31" s="30"/>
      <c r="D31" s="30"/>
      <c r="E31" s="30"/>
      <c r="F31" s="30"/>
      <c r="G31" s="29">
        <f>(F13*4*8.57)+(B13*2*3.14)+(C13*1*3.14)+(D13*1*3.14)</f>
        <v>1130.4</v>
      </c>
    </row>
    <row r="32" spans="1:7" ht="15.75">
      <c r="A32" s="28" t="s">
        <v>45</v>
      </c>
      <c r="B32" s="28"/>
      <c r="C32" s="28"/>
      <c r="D32" s="28"/>
      <c r="E32" s="28"/>
      <c r="F32" s="28"/>
      <c r="G32" s="29">
        <f>B3*0.65*4</f>
        <v>13303.160000000002</v>
      </c>
    </row>
    <row r="33" spans="1:7" ht="15.75">
      <c r="A33" s="28" t="s">
        <v>46</v>
      </c>
      <c r="B33" s="28"/>
      <c r="C33" s="28"/>
      <c r="D33" s="28"/>
      <c r="E33" s="28"/>
      <c r="F33" s="28"/>
      <c r="G33" s="29">
        <f>B3*0.2*4</f>
        <v>4093.2800000000007</v>
      </c>
    </row>
    <row r="34" spans="1:7" ht="15.75">
      <c r="A34" s="28" t="s">
        <v>47</v>
      </c>
      <c r="B34" s="28"/>
      <c r="C34" s="28"/>
      <c r="D34" s="28"/>
      <c r="E34" s="28"/>
      <c r="F34" s="28"/>
      <c r="G34" s="29">
        <f>B3*0.7*4</f>
        <v>14326.48</v>
      </c>
    </row>
    <row r="35" spans="1:7" ht="15.75">
      <c r="A35" s="26" t="s">
        <v>48</v>
      </c>
      <c r="B35" s="26"/>
      <c r="C35" s="26"/>
      <c r="D35" s="26"/>
      <c r="E35" s="26"/>
      <c r="F35" s="26"/>
      <c r="G35" s="32">
        <f>G15+G16+G17+G18+G19+G20+G21+G22+G23+G24+G26+G30+G31+G32+G33+G34+G27+G28+G29+G25</f>
        <v>151865.538867828</v>
      </c>
    </row>
    <row r="36" spans="1:7" ht="20.25" customHeight="1">
      <c r="A36" s="33" t="s">
        <v>49</v>
      </c>
      <c r="B36" s="33"/>
      <c r="C36" s="33"/>
      <c r="D36" s="33"/>
      <c r="E36" s="33"/>
      <c r="F36" s="33"/>
      <c r="G36" s="29"/>
    </row>
    <row r="37" spans="1:7" ht="15.75" hidden="1">
      <c r="A37" s="28" t="s">
        <v>50</v>
      </c>
      <c r="B37" s="28"/>
      <c r="C37" s="28"/>
      <c r="D37" s="28"/>
      <c r="E37" s="28"/>
      <c r="F37" s="28"/>
      <c r="G37" s="29"/>
    </row>
    <row r="38" spans="1:7" ht="15.75">
      <c r="A38" s="28" t="s">
        <v>51</v>
      </c>
      <c r="B38" s="28"/>
      <c r="C38" s="28"/>
      <c r="D38" s="28"/>
      <c r="E38" s="28"/>
      <c r="F38" s="28"/>
      <c r="G38" s="29"/>
    </row>
    <row r="39" spans="1:7" ht="15.75" hidden="1">
      <c r="A39" s="34" t="s">
        <v>52</v>
      </c>
      <c r="B39" s="34"/>
      <c r="C39" s="34"/>
      <c r="D39" s="34"/>
      <c r="E39" s="34"/>
      <c r="F39" s="34"/>
      <c r="G39" s="29"/>
    </row>
    <row r="40" spans="1:7" ht="15.75" hidden="1">
      <c r="A40" s="34" t="s">
        <v>53</v>
      </c>
      <c r="B40" s="34"/>
      <c r="C40" s="34"/>
      <c r="D40" s="34"/>
      <c r="E40" s="34"/>
      <c r="F40" s="34"/>
      <c r="G40" s="29"/>
    </row>
    <row r="41" spans="1:7" ht="15.75" hidden="1">
      <c r="A41" s="34" t="s">
        <v>54</v>
      </c>
      <c r="B41" s="34"/>
      <c r="C41" s="34"/>
      <c r="D41" s="34"/>
      <c r="E41" s="34"/>
      <c r="F41" s="34"/>
      <c r="G41" s="29"/>
    </row>
    <row r="42" spans="1:7" ht="15.75" hidden="1">
      <c r="A42" s="34" t="s">
        <v>55</v>
      </c>
      <c r="B42" s="34"/>
      <c r="C42" s="34"/>
      <c r="D42" s="34"/>
      <c r="E42" s="34"/>
      <c r="F42" s="34"/>
      <c r="G42" s="29"/>
    </row>
    <row r="43" spans="1:7" ht="15.75" hidden="1">
      <c r="A43" s="34" t="s">
        <v>56</v>
      </c>
      <c r="B43" s="34"/>
      <c r="C43" s="34"/>
      <c r="D43" s="34"/>
      <c r="E43" s="34"/>
      <c r="F43" s="34"/>
      <c r="G43" s="29"/>
    </row>
    <row r="44" spans="1:7" ht="15.75" hidden="1">
      <c r="A44" s="34" t="s">
        <v>57</v>
      </c>
      <c r="B44" s="34"/>
      <c r="C44" s="34"/>
      <c r="D44" s="34"/>
      <c r="E44" s="34"/>
      <c r="F44" s="34"/>
      <c r="G44" s="29"/>
    </row>
    <row r="45" spans="1:7" ht="15.75">
      <c r="A45" s="34" t="s">
        <v>58</v>
      </c>
      <c r="B45" s="34"/>
      <c r="C45" s="34"/>
      <c r="D45" s="34"/>
      <c r="E45" s="34"/>
      <c r="F45" s="34"/>
      <c r="G45" s="29">
        <v>168</v>
      </c>
    </row>
    <row r="46" spans="1:7" ht="15.75" hidden="1">
      <c r="A46" s="34" t="s">
        <v>59</v>
      </c>
      <c r="B46" s="34"/>
      <c r="C46" s="34"/>
      <c r="D46" s="34"/>
      <c r="E46" s="34"/>
      <c r="F46" s="34"/>
      <c r="G46" s="29"/>
    </row>
    <row r="47" spans="1:7" ht="15.75" hidden="1">
      <c r="A47" s="34" t="s">
        <v>60</v>
      </c>
      <c r="B47" s="34"/>
      <c r="C47" s="34"/>
      <c r="D47" s="34"/>
      <c r="E47" s="34"/>
      <c r="F47" s="34"/>
      <c r="G47" s="29"/>
    </row>
    <row r="48" spans="1:7" ht="15.75" hidden="1">
      <c r="A48" s="34" t="s">
        <v>61</v>
      </c>
      <c r="B48" s="34"/>
      <c r="C48" s="34"/>
      <c r="D48" s="34"/>
      <c r="E48" s="34"/>
      <c r="F48" s="34"/>
      <c r="G48" s="29"/>
    </row>
    <row r="49" spans="1:7" ht="15.75" hidden="1">
      <c r="A49" s="34" t="s">
        <v>62</v>
      </c>
      <c r="B49" s="34"/>
      <c r="C49" s="34"/>
      <c r="D49" s="34"/>
      <c r="E49" s="34"/>
      <c r="F49" s="34"/>
      <c r="G49" s="29"/>
    </row>
    <row r="50" spans="1:7" ht="15.75">
      <c r="A50" s="34" t="s">
        <v>63</v>
      </c>
      <c r="B50" s="34"/>
      <c r="C50" s="34"/>
      <c r="D50" s="34"/>
      <c r="E50" s="34"/>
      <c r="F50" s="34"/>
      <c r="G50" s="29">
        <v>3980</v>
      </c>
    </row>
    <row r="51" spans="1:7" ht="15.75" hidden="1">
      <c r="A51" s="34" t="s">
        <v>64</v>
      </c>
      <c r="B51" s="34"/>
      <c r="C51" s="34"/>
      <c r="D51" s="34"/>
      <c r="E51" s="34"/>
      <c r="F51" s="34"/>
      <c r="G51" s="29"/>
    </row>
    <row r="52" spans="1:7" ht="15.75" hidden="1">
      <c r="A52" s="34" t="s">
        <v>65</v>
      </c>
      <c r="B52" s="34"/>
      <c r="C52" s="34"/>
      <c r="D52" s="34"/>
      <c r="E52" s="34"/>
      <c r="F52" s="34"/>
      <c r="G52" s="29"/>
    </row>
    <row r="53" spans="1:7" ht="15.75" customHeight="1">
      <c r="A53" s="33" t="s">
        <v>66</v>
      </c>
      <c r="B53" s="33"/>
      <c r="C53" s="33"/>
      <c r="D53" s="33"/>
      <c r="E53" s="33"/>
      <c r="F53" s="33"/>
      <c r="G53" s="32">
        <f>G39+G40+G41+G42+G43+G44+G45+G46+G47+G48+G49+G50+G51+G52</f>
        <v>4148</v>
      </c>
    </row>
    <row r="54" spans="1:7" ht="15.75" customHeight="1">
      <c r="A54" s="33" t="s">
        <v>67</v>
      </c>
      <c r="B54" s="33"/>
      <c r="C54" s="33"/>
      <c r="D54" s="33"/>
      <c r="E54" s="33"/>
      <c r="F54" s="33"/>
      <c r="G54" s="32">
        <f>G35+G53</f>
        <v>156013.538867828</v>
      </c>
    </row>
    <row r="55" spans="1:7" ht="15.75" hidden="1">
      <c r="A55" s="28" t="s">
        <v>68</v>
      </c>
      <c r="B55" s="28"/>
      <c r="C55" s="28"/>
      <c r="D55" s="28"/>
      <c r="E55" s="28"/>
      <c r="F55" s="28"/>
      <c r="G55" s="29">
        <v>0</v>
      </c>
    </row>
    <row r="56" spans="1:7" ht="15.75">
      <c r="A56" s="41" t="s">
        <v>69</v>
      </c>
      <c r="B56" s="41"/>
      <c r="C56" s="41"/>
      <c r="D56" s="41"/>
      <c r="E56" s="41"/>
      <c r="F56" s="41"/>
      <c r="G56" s="29">
        <f>281.58*4+141.6*4+180*4</f>
        <v>2412.72</v>
      </c>
    </row>
    <row r="57" spans="1:7" ht="15.75" customHeight="1">
      <c r="A57" s="42" t="s">
        <v>70</v>
      </c>
      <c r="B57" s="42"/>
      <c r="C57" s="42"/>
      <c r="D57" s="42"/>
      <c r="E57" s="42"/>
      <c r="F57" s="42"/>
      <c r="G57" s="32">
        <f>B3*B5*4+G56</f>
        <v>233683.04000000004</v>
      </c>
    </row>
    <row r="58" spans="1:7" ht="15.75" customHeight="1">
      <c r="A58" s="43" t="s">
        <v>71</v>
      </c>
      <c r="B58" s="43"/>
      <c r="C58" s="43"/>
      <c r="D58" s="43"/>
      <c r="E58" s="43"/>
      <c r="F58" s="43"/>
      <c r="G58" s="44">
        <v>27946.38</v>
      </c>
    </row>
    <row r="59" spans="1:7" ht="64.5" customHeight="1">
      <c r="A59" s="33" t="s">
        <v>82</v>
      </c>
      <c r="B59" s="33"/>
      <c r="C59" s="33"/>
      <c r="D59" s="33"/>
      <c r="E59" s="33"/>
      <c r="F59" s="33"/>
      <c r="G59" s="32">
        <f>G54-G57-G55+G58</f>
        <v>-49723.12113217203</v>
      </c>
    </row>
  </sheetData>
  <sheetProtection selectLockedCells="1" selectUnlockedCells="1"/>
  <mergeCells count="48">
    <mergeCell ref="A1:G1"/>
    <mergeCell ref="B2:E2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G59"/>
  <sheetViews>
    <sheetView zoomScale="75" zoomScaleNormal="75" workbookViewId="0" topLeftCell="A18">
      <pane ySplit="65535" topLeftCell="A18" activePane="topLeft" state="split"/>
      <selection pane="topLeft" activeCell="G57" activeCellId="1" sqref="A77:G138 G57"/>
      <selection pane="bottomLeft" activeCell="A18" sqref="A18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6.7109375" style="1" customWidth="1"/>
    <col min="8" max="16384" width="9.140625" style="1" customWidth="1"/>
  </cols>
  <sheetData>
    <row r="1" spans="1:7" ht="40.5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73</v>
      </c>
      <c r="B2" s="7" t="s">
        <v>90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75</v>
      </c>
      <c r="B3" s="45">
        <v>3543.9</v>
      </c>
      <c r="F3" s="8" t="s">
        <v>5</v>
      </c>
      <c r="G3" s="11">
        <v>4</v>
      </c>
    </row>
    <row r="4" spans="1:7" ht="18.75">
      <c r="A4" s="12" t="s">
        <v>76</v>
      </c>
      <c r="B4" s="13"/>
      <c r="F4" s="8" t="s">
        <v>8</v>
      </c>
      <c r="G4" s="9">
        <v>1974</v>
      </c>
    </row>
    <row r="5" spans="1:3" ht="16.5" customHeight="1">
      <c r="A5" s="12" t="s">
        <v>76</v>
      </c>
      <c r="B5" s="13">
        <v>9.49</v>
      </c>
      <c r="C5" s="1" t="s">
        <v>9</v>
      </c>
    </row>
    <row r="6" spans="1:7" ht="18.75" hidden="1">
      <c r="A6" s="14" t="s">
        <v>10</v>
      </c>
      <c r="B6" s="15">
        <v>272.2</v>
      </c>
      <c r="C6" s="16"/>
      <c r="D6" s="16"/>
      <c r="E6" s="16"/>
      <c r="F6" s="16"/>
      <c r="G6" s="16"/>
    </row>
    <row r="7" spans="1:7" ht="18.75" hidden="1">
      <c r="A7" s="14" t="s">
        <v>12</v>
      </c>
      <c r="B7" s="17">
        <v>0</v>
      </c>
      <c r="C7" s="16"/>
      <c r="D7" s="16"/>
      <c r="E7" s="16"/>
      <c r="F7" s="16"/>
      <c r="G7" s="16"/>
    </row>
    <row r="8" spans="1:7" ht="38.25" customHeight="1" hidden="1">
      <c r="A8" s="18" t="s">
        <v>13</v>
      </c>
      <c r="B8" s="19" t="s">
        <v>14</v>
      </c>
      <c r="C8" s="19" t="s">
        <v>15</v>
      </c>
      <c r="D8" s="19" t="s">
        <v>16</v>
      </c>
      <c r="E8" s="19" t="s">
        <v>17</v>
      </c>
      <c r="F8" s="16"/>
      <c r="G8" s="16"/>
    </row>
    <row r="9" spans="1:7" ht="20.25" customHeight="1" hidden="1">
      <c r="A9" s="14"/>
      <c r="B9" s="17">
        <v>652</v>
      </c>
      <c r="C9" s="17">
        <v>3615</v>
      </c>
      <c r="D9" s="17">
        <v>607</v>
      </c>
      <c r="E9" s="17">
        <v>3660</v>
      </c>
      <c r="F9" s="16"/>
      <c r="G9" s="16"/>
    </row>
    <row r="10" spans="1:7" ht="18.75" hidden="1">
      <c r="A10" s="14" t="s">
        <v>18</v>
      </c>
      <c r="B10" s="20">
        <v>0</v>
      </c>
      <c r="C10" s="16"/>
      <c r="D10" s="16"/>
      <c r="E10" s="16"/>
      <c r="F10" s="16"/>
      <c r="G10" s="16"/>
    </row>
    <row r="11" spans="1:7" ht="19.5" hidden="1">
      <c r="A11" s="14" t="s">
        <v>19</v>
      </c>
      <c r="B11" s="20">
        <v>669.6</v>
      </c>
      <c r="C11" s="20">
        <v>654.4</v>
      </c>
      <c r="D11" s="20">
        <f>B11+C11</f>
        <v>1324</v>
      </c>
      <c r="E11" s="16"/>
      <c r="F11" s="16"/>
      <c r="G11" s="16"/>
    </row>
    <row r="12" spans="1:7" ht="50.25" customHeight="1" hidden="1">
      <c r="A12" s="14" t="s">
        <v>20</v>
      </c>
      <c r="B12" s="19" t="s">
        <v>21</v>
      </c>
      <c r="C12" s="21" t="s">
        <v>22</v>
      </c>
      <c r="D12" s="19" t="s">
        <v>23</v>
      </c>
      <c r="E12" s="22" t="s">
        <v>24</v>
      </c>
      <c r="F12" s="17" t="s">
        <v>25</v>
      </c>
      <c r="G12" s="16"/>
    </row>
    <row r="13" spans="1:7" ht="23.25" customHeight="1" hidden="1">
      <c r="A13" s="23"/>
      <c r="B13" s="24">
        <v>70</v>
      </c>
      <c r="C13" s="24">
        <v>70</v>
      </c>
      <c r="D13" s="24"/>
      <c r="E13" s="25">
        <f>D13+C13+B13</f>
        <v>140</v>
      </c>
      <c r="F13" s="17"/>
      <c r="G13" s="16"/>
    </row>
    <row r="14" spans="1:7" ht="18.75" customHeight="1">
      <c r="A14" s="26" t="s">
        <v>26</v>
      </c>
      <c r="B14" s="26"/>
      <c r="C14" s="26"/>
      <c r="D14" s="26"/>
      <c r="E14" s="26"/>
      <c r="F14" s="26"/>
      <c r="G14" s="27" t="s">
        <v>27</v>
      </c>
    </row>
    <row r="15" spans="1:7" ht="15.75">
      <c r="A15" s="28" t="s">
        <v>28</v>
      </c>
      <c r="B15" s="28"/>
      <c r="C15" s="28"/>
      <c r="D15" s="28"/>
      <c r="E15" s="28"/>
      <c r="F15" s="28"/>
      <c r="G15" s="29">
        <f>B6*7.012*4</f>
        <v>7634.665599999999</v>
      </c>
    </row>
    <row r="16" spans="1:7" ht="15.75" hidden="1">
      <c r="A16" s="28" t="s">
        <v>29</v>
      </c>
      <c r="B16" s="28"/>
      <c r="C16" s="28"/>
      <c r="D16" s="28"/>
      <c r="E16" s="28"/>
      <c r="F16" s="28"/>
      <c r="G16" s="29">
        <f>B7*35.705*12</f>
        <v>0</v>
      </c>
    </row>
    <row r="17" spans="1:7" ht="15.75" hidden="1">
      <c r="A17" s="28" t="s">
        <v>30</v>
      </c>
      <c r="B17" s="28"/>
      <c r="C17" s="28"/>
      <c r="D17" s="28"/>
      <c r="E17" s="28"/>
      <c r="F17" s="28"/>
      <c r="G17" s="29">
        <f>B10*0.3613*12</f>
        <v>0</v>
      </c>
    </row>
    <row r="18" spans="1:7" ht="15.75">
      <c r="A18" s="28" t="s">
        <v>31</v>
      </c>
      <c r="B18" s="28"/>
      <c r="C18" s="28"/>
      <c r="D18" s="28"/>
      <c r="E18" s="28"/>
      <c r="F18" s="28"/>
      <c r="G18" s="29">
        <f>(B9*9.46/100*64)+(C9*7.09/100*38)+(D9*23.66/100*26)+(E9*1.77/100*5)</f>
        <v>17744.933</v>
      </c>
    </row>
    <row r="19" spans="1:7" ht="15.75" customHeight="1">
      <c r="A19" s="30" t="s">
        <v>32</v>
      </c>
      <c r="B19" s="30"/>
      <c r="C19" s="30"/>
      <c r="D19" s="30"/>
      <c r="E19" s="30"/>
      <c r="F19" s="30"/>
      <c r="G19" s="31">
        <f>874906.73/199064.79*B3</f>
        <v>15575.742754140498</v>
      </c>
    </row>
    <row r="20" spans="1:7" ht="15.75">
      <c r="A20" s="28" t="s">
        <v>33</v>
      </c>
      <c r="B20" s="28"/>
      <c r="C20" s="28"/>
      <c r="D20" s="28"/>
      <c r="E20" s="28"/>
      <c r="F20" s="28"/>
      <c r="G20" s="29">
        <f>D11*0.14*2</f>
        <v>370.72</v>
      </c>
    </row>
    <row r="21" spans="1:7" ht="15.75">
      <c r="A21" s="28" t="s">
        <v>34</v>
      </c>
      <c r="B21" s="28"/>
      <c r="C21" s="28"/>
      <c r="D21" s="28"/>
      <c r="E21" s="28"/>
      <c r="F21" s="28"/>
      <c r="G21" s="29">
        <f>95.95+3568.32+1055.39+3861.72</f>
        <v>8581.38</v>
      </c>
    </row>
    <row r="22" spans="1:7" ht="15.75">
      <c r="A22" s="28" t="s">
        <v>35</v>
      </c>
      <c r="B22" s="28"/>
      <c r="C22" s="28"/>
      <c r="D22" s="28"/>
      <c r="E22" s="28"/>
      <c r="F22" s="28"/>
      <c r="G22" s="29">
        <f>B3*0.845*4</f>
        <v>11978.382</v>
      </c>
    </row>
    <row r="23" spans="1:7" ht="15.75" hidden="1">
      <c r="A23" s="28" t="s">
        <v>36</v>
      </c>
      <c r="B23" s="28"/>
      <c r="C23" s="28"/>
      <c r="D23" s="28"/>
      <c r="E23" s="28"/>
      <c r="F23" s="28"/>
      <c r="G23" s="29">
        <v>0</v>
      </c>
    </row>
    <row r="24" spans="1:7" ht="15.75" hidden="1">
      <c r="A24" s="28" t="s">
        <v>37</v>
      </c>
      <c r="B24" s="28"/>
      <c r="C24" s="28"/>
      <c r="D24" s="28"/>
      <c r="E24" s="28"/>
      <c r="F24" s="28"/>
      <c r="G24" s="29">
        <v>0</v>
      </c>
    </row>
    <row r="25" spans="1:7" ht="15.75" hidden="1">
      <c r="A25" s="28" t="s">
        <v>38</v>
      </c>
      <c r="B25" s="28"/>
      <c r="C25" s="28"/>
      <c r="D25" s="28"/>
      <c r="E25" s="28"/>
      <c r="F25" s="28"/>
      <c r="G25" s="29">
        <v>0</v>
      </c>
    </row>
    <row r="26" spans="1:7" ht="15.75">
      <c r="A26" s="28" t="s">
        <v>39</v>
      </c>
      <c r="B26" s="28"/>
      <c r="C26" s="28"/>
      <c r="D26" s="28"/>
      <c r="E26" s="28"/>
      <c r="F26" s="28"/>
      <c r="G26" s="29">
        <f>2*352+2*251.46+9171.46</f>
        <v>10378.38</v>
      </c>
    </row>
    <row r="27" spans="1:7" ht="15.75">
      <c r="A27" s="28" t="s">
        <v>40</v>
      </c>
      <c r="B27" s="28"/>
      <c r="C27" s="28"/>
      <c r="D27" s="28"/>
      <c r="E27" s="28"/>
      <c r="F27" s="28"/>
      <c r="G27" s="29">
        <f>1080.88</f>
        <v>1080.88</v>
      </c>
    </row>
    <row r="28" spans="1:7" ht="15.75" hidden="1">
      <c r="A28" s="28" t="s">
        <v>41</v>
      </c>
      <c r="B28" s="28"/>
      <c r="C28" s="28"/>
      <c r="D28" s="28"/>
      <c r="E28" s="28"/>
      <c r="F28" s="28"/>
      <c r="G28" s="29">
        <v>0</v>
      </c>
    </row>
    <row r="29" spans="1:7" ht="15.75" hidden="1">
      <c r="A29" s="28" t="s">
        <v>42</v>
      </c>
      <c r="B29" s="28"/>
      <c r="C29" s="28"/>
      <c r="D29" s="28"/>
      <c r="E29" s="28"/>
      <c r="F29" s="28"/>
      <c r="G29" s="29">
        <v>0</v>
      </c>
    </row>
    <row r="30" spans="1:7" ht="15.75">
      <c r="A30" s="28" t="s">
        <v>43</v>
      </c>
      <c r="B30" s="28"/>
      <c r="C30" s="28"/>
      <c r="D30" s="28"/>
      <c r="E30" s="28"/>
      <c r="F30" s="28"/>
      <c r="G30" s="29">
        <f>B3*1.75*4</f>
        <v>24807.3</v>
      </c>
    </row>
    <row r="31" spans="1:7" ht="15.75" customHeight="1">
      <c r="A31" s="30" t="s">
        <v>44</v>
      </c>
      <c r="B31" s="30"/>
      <c r="C31" s="30"/>
      <c r="D31" s="30"/>
      <c r="E31" s="30"/>
      <c r="F31" s="30"/>
      <c r="G31" s="29">
        <f>(F13*4*8.57)+(B13*2*3.14)+(C13*1*3.14)+(D13*1*3.14)</f>
        <v>659.4000000000001</v>
      </c>
    </row>
    <row r="32" spans="1:7" ht="15.75">
      <c r="A32" s="28" t="s">
        <v>45</v>
      </c>
      <c r="B32" s="28"/>
      <c r="C32" s="28"/>
      <c r="D32" s="28"/>
      <c r="E32" s="28"/>
      <c r="F32" s="28"/>
      <c r="G32" s="29">
        <f>B3*0.65*4</f>
        <v>9214.140000000001</v>
      </c>
    </row>
    <row r="33" spans="1:7" ht="15.75">
      <c r="A33" s="28" t="s">
        <v>46</v>
      </c>
      <c r="B33" s="28"/>
      <c r="C33" s="28"/>
      <c r="D33" s="28"/>
      <c r="E33" s="28"/>
      <c r="F33" s="28"/>
      <c r="G33" s="29">
        <f>B3*0.2*4</f>
        <v>2835.1200000000003</v>
      </c>
    </row>
    <row r="34" spans="1:7" ht="15.75">
      <c r="A34" s="28" t="s">
        <v>47</v>
      </c>
      <c r="B34" s="28"/>
      <c r="C34" s="28"/>
      <c r="D34" s="28"/>
      <c r="E34" s="28"/>
      <c r="F34" s="28"/>
      <c r="G34" s="29">
        <f>B3*0.7*4</f>
        <v>9922.92</v>
      </c>
    </row>
    <row r="35" spans="1:7" ht="15.75">
      <c r="A35" s="26" t="s">
        <v>48</v>
      </c>
      <c r="B35" s="26"/>
      <c r="C35" s="26"/>
      <c r="D35" s="26"/>
      <c r="E35" s="26"/>
      <c r="F35" s="26"/>
      <c r="G35" s="32">
        <f>G15+G16+G17+G18+G19+G20+G21+G22+G23+G24+G26+G30+G31+G32+G33+G34+G27+G28+G29+G25</f>
        <v>120783.96335414049</v>
      </c>
    </row>
    <row r="36" spans="1:7" ht="20.25" customHeight="1">
      <c r="A36" s="33" t="s">
        <v>49</v>
      </c>
      <c r="B36" s="33"/>
      <c r="C36" s="33"/>
      <c r="D36" s="33"/>
      <c r="E36" s="33"/>
      <c r="F36" s="33"/>
      <c r="G36" s="29"/>
    </row>
    <row r="37" spans="1:7" ht="15.75" hidden="1">
      <c r="A37" s="28" t="s">
        <v>50</v>
      </c>
      <c r="B37" s="28"/>
      <c r="C37" s="28"/>
      <c r="D37" s="28"/>
      <c r="E37" s="28"/>
      <c r="F37" s="28"/>
      <c r="G37" s="29"/>
    </row>
    <row r="38" spans="1:7" ht="15.75">
      <c r="A38" s="28" t="s">
        <v>51</v>
      </c>
      <c r="B38" s="28"/>
      <c r="C38" s="28"/>
      <c r="D38" s="28"/>
      <c r="E38" s="28"/>
      <c r="F38" s="28"/>
      <c r="G38" s="29"/>
    </row>
    <row r="39" spans="1:7" ht="15.75">
      <c r="A39" s="34" t="s">
        <v>52</v>
      </c>
      <c r="B39" s="34"/>
      <c r="C39" s="34"/>
      <c r="D39" s="34"/>
      <c r="E39" s="34"/>
      <c r="F39" s="34"/>
      <c r="G39" s="29">
        <v>4100</v>
      </c>
    </row>
    <row r="40" spans="1:7" ht="15.75" hidden="1">
      <c r="A40" s="34" t="s">
        <v>53</v>
      </c>
      <c r="B40" s="34"/>
      <c r="C40" s="34"/>
      <c r="D40" s="34"/>
      <c r="E40" s="34"/>
      <c r="F40" s="34"/>
      <c r="G40" s="29"/>
    </row>
    <row r="41" spans="1:7" ht="15.75" hidden="1">
      <c r="A41" s="34" t="s">
        <v>54</v>
      </c>
      <c r="B41" s="34"/>
      <c r="C41" s="34"/>
      <c r="D41" s="34"/>
      <c r="E41" s="34"/>
      <c r="F41" s="34"/>
      <c r="G41" s="29"/>
    </row>
    <row r="42" spans="1:7" ht="15.75" hidden="1">
      <c r="A42" s="34" t="s">
        <v>55</v>
      </c>
      <c r="B42" s="34"/>
      <c r="C42" s="34"/>
      <c r="D42" s="34"/>
      <c r="E42" s="34"/>
      <c r="F42" s="34"/>
      <c r="G42" s="29"/>
    </row>
    <row r="43" spans="1:7" ht="15.75" hidden="1">
      <c r="A43" s="34" t="s">
        <v>56</v>
      </c>
      <c r="B43" s="34"/>
      <c r="C43" s="34"/>
      <c r="D43" s="34"/>
      <c r="E43" s="34"/>
      <c r="F43" s="34"/>
      <c r="G43" s="29"/>
    </row>
    <row r="44" spans="1:7" ht="15.75">
      <c r="A44" s="34" t="s">
        <v>57</v>
      </c>
      <c r="B44" s="34"/>
      <c r="C44" s="34"/>
      <c r="D44" s="34"/>
      <c r="E44" s="34"/>
      <c r="F44" s="34"/>
      <c r="G44" s="29">
        <v>2230</v>
      </c>
    </row>
    <row r="45" spans="1:7" ht="15.75">
      <c r="A45" s="34" t="s">
        <v>58</v>
      </c>
      <c r="B45" s="34"/>
      <c r="C45" s="34"/>
      <c r="D45" s="34"/>
      <c r="E45" s="34"/>
      <c r="F45" s="34"/>
      <c r="G45" s="29">
        <v>958</v>
      </c>
    </row>
    <row r="46" spans="1:7" ht="15.75" hidden="1">
      <c r="A46" s="34" t="s">
        <v>59</v>
      </c>
      <c r="B46" s="34"/>
      <c r="C46" s="34"/>
      <c r="D46" s="34"/>
      <c r="E46" s="34"/>
      <c r="F46" s="34"/>
      <c r="G46" s="29"/>
    </row>
    <row r="47" spans="1:7" ht="15.75" hidden="1">
      <c r="A47" s="34" t="s">
        <v>60</v>
      </c>
      <c r="B47" s="34"/>
      <c r="C47" s="34"/>
      <c r="D47" s="34"/>
      <c r="E47" s="34"/>
      <c r="F47" s="34"/>
      <c r="G47" s="29"/>
    </row>
    <row r="48" spans="1:7" ht="15.75" hidden="1">
      <c r="A48" s="34" t="s">
        <v>61</v>
      </c>
      <c r="B48" s="34"/>
      <c r="C48" s="34"/>
      <c r="D48" s="34"/>
      <c r="E48" s="34"/>
      <c r="F48" s="34"/>
      <c r="G48" s="29"/>
    </row>
    <row r="49" spans="1:7" ht="15.75" hidden="1">
      <c r="A49" s="34" t="s">
        <v>62</v>
      </c>
      <c r="B49" s="34"/>
      <c r="C49" s="34"/>
      <c r="D49" s="34"/>
      <c r="E49" s="34"/>
      <c r="F49" s="34"/>
      <c r="G49" s="29"/>
    </row>
    <row r="50" spans="1:7" ht="15.75">
      <c r="A50" s="34" t="s">
        <v>63</v>
      </c>
      <c r="B50" s="34"/>
      <c r="C50" s="34"/>
      <c r="D50" s="34"/>
      <c r="E50" s="34"/>
      <c r="F50" s="34"/>
      <c r="G50" s="29">
        <v>4860</v>
      </c>
    </row>
    <row r="51" spans="1:7" ht="15.75" hidden="1">
      <c r="A51" s="34" t="s">
        <v>64</v>
      </c>
      <c r="B51" s="34"/>
      <c r="C51" s="34"/>
      <c r="D51" s="34"/>
      <c r="E51" s="34"/>
      <c r="F51" s="34"/>
      <c r="G51" s="29"/>
    </row>
    <row r="52" spans="1:7" ht="15.75" hidden="1">
      <c r="A52" s="34" t="s">
        <v>65</v>
      </c>
      <c r="B52" s="34"/>
      <c r="C52" s="34"/>
      <c r="D52" s="34"/>
      <c r="E52" s="34"/>
      <c r="F52" s="34"/>
      <c r="G52" s="29"/>
    </row>
    <row r="53" spans="1:7" ht="18.75" customHeight="1">
      <c r="A53" s="33" t="s">
        <v>66</v>
      </c>
      <c r="B53" s="33"/>
      <c r="C53" s="33"/>
      <c r="D53" s="33"/>
      <c r="E53" s="33"/>
      <c r="F53" s="33"/>
      <c r="G53" s="32">
        <f>G39+G40+G41+G42+G43+G44+G45+G46+G47+G48+G49+G50+G51+G52</f>
        <v>12148</v>
      </c>
    </row>
    <row r="54" spans="1:7" ht="21" customHeight="1">
      <c r="A54" s="33" t="s">
        <v>67</v>
      </c>
      <c r="B54" s="33"/>
      <c r="C54" s="33"/>
      <c r="D54" s="33"/>
      <c r="E54" s="33"/>
      <c r="F54" s="33"/>
      <c r="G54" s="32">
        <f>G35+G53</f>
        <v>132931.9633541405</v>
      </c>
    </row>
    <row r="55" spans="1:7" ht="15.75">
      <c r="A55" s="28" t="s">
        <v>68</v>
      </c>
      <c r="B55" s="28"/>
      <c r="C55" s="28"/>
      <c r="D55" s="28"/>
      <c r="E55" s="28"/>
      <c r="F55" s="28"/>
      <c r="G55" s="29">
        <v>-8047.4</v>
      </c>
    </row>
    <row r="56" spans="1:7" ht="15.75">
      <c r="A56" s="41" t="s">
        <v>69</v>
      </c>
      <c r="B56" s="41"/>
      <c r="C56" s="41"/>
      <c r="D56" s="41"/>
      <c r="E56" s="41"/>
      <c r="F56" s="41"/>
      <c r="G56" s="29">
        <f>281.58*4+141.6*4+180*4</f>
        <v>2412.72</v>
      </c>
    </row>
    <row r="57" spans="1:7" ht="15.75" customHeight="1">
      <c r="A57" s="42" t="s">
        <v>70</v>
      </c>
      <c r="B57" s="42"/>
      <c r="C57" s="42"/>
      <c r="D57" s="42"/>
      <c r="E57" s="42"/>
      <c r="F57" s="42"/>
      <c r="G57" s="32">
        <f>B3*B5*4+G56</f>
        <v>136939.16400000002</v>
      </c>
    </row>
    <row r="58" spans="1:7" ht="15.75" customHeight="1">
      <c r="A58" s="43" t="s">
        <v>71</v>
      </c>
      <c r="B58" s="43"/>
      <c r="C58" s="43"/>
      <c r="D58" s="43"/>
      <c r="E58" s="43"/>
      <c r="F58" s="43"/>
      <c r="G58" s="44">
        <v>7682.6</v>
      </c>
    </row>
    <row r="59" spans="1:7" ht="61.5" customHeight="1">
      <c r="A59" s="33" t="s">
        <v>72</v>
      </c>
      <c r="B59" s="33"/>
      <c r="C59" s="33"/>
      <c r="D59" s="33"/>
      <c r="E59" s="33"/>
      <c r="F59" s="33"/>
      <c r="G59" s="32">
        <f>G54-G57+G58-G55</f>
        <v>11722.799354140472</v>
      </c>
    </row>
  </sheetData>
  <sheetProtection selectLockedCells="1" selectUnlockedCells="1"/>
  <mergeCells count="48">
    <mergeCell ref="A1:G1"/>
    <mergeCell ref="B2:E2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printOptions/>
  <pageMargins left="0.19652777777777777" right="0" top="0" bottom="0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G59"/>
  <sheetViews>
    <sheetView zoomScale="75" zoomScaleNormal="75" workbookViewId="0" topLeftCell="A33">
      <pane ySplit="65535" topLeftCell="A33" activePane="topLeft" state="split"/>
      <selection pane="topLeft" activeCell="G57" activeCellId="1" sqref="A77:G138 G57"/>
      <selection pane="bottomLeft" activeCell="A33" sqref="A33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4.00390625" style="1" customWidth="1"/>
    <col min="8" max="16384" width="9.140625" style="1" customWidth="1"/>
  </cols>
  <sheetData>
    <row r="1" spans="1:7" ht="40.5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73</v>
      </c>
      <c r="B2" s="7" t="s">
        <v>91</v>
      </c>
      <c r="C2" s="7"/>
      <c r="D2" s="7"/>
      <c r="E2" s="7"/>
      <c r="F2" s="8" t="s">
        <v>3</v>
      </c>
      <c r="G2" s="9">
        <v>10</v>
      </c>
    </row>
    <row r="3" spans="1:7" ht="18.75">
      <c r="A3" s="6" t="s">
        <v>75</v>
      </c>
      <c r="B3" s="10">
        <v>5544.1</v>
      </c>
      <c r="F3" s="8" t="s">
        <v>5</v>
      </c>
      <c r="G3" s="11">
        <v>2</v>
      </c>
    </row>
    <row r="4" spans="1:7" ht="18.75">
      <c r="A4" s="12" t="s">
        <v>76</v>
      </c>
      <c r="B4" s="13"/>
      <c r="F4" s="8" t="s">
        <v>8</v>
      </c>
      <c r="G4" s="9">
        <v>1999</v>
      </c>
    </row>
    <row r="5" spans="1:3" ht="16.5" customHeight="1">
      <c r="A5" s="12" t="s">
        <v>76</v>
      </c>
      <c r="B5" s="46">
        <v>12</v>
      </c>
      <c r="C5" s="1" t="s">
        <v>9</v>
      </c>
    </row>
    <row r="6" spans="1:7" ht="18.75" hidden="1">
      <c r="A6" s="14" t="s">
        <v>10</v>
      </c>
      <c r="B6" s="15">
        <v>653.4</v>
      </c>
      <c r="C6" s="16"/>
      <c r="D6" s="16"/>
      <c r="E6" s="16"/>
      <c r="F6" s="16"/>
      <c r="G6" s="16"/>
    </row>
    <row r="7" spans="1:7" ht="18.75" hidden="1">
      <c r="A7" s="14" t="s">
        <v>12</v>
      </c>
      <c r="B7" s="17">
        <v>2.2</v>
      </c>
      <c r="C7" s="16" t="s">
        <v>78</v>
      </c>
      <c r="D7" s="16">
        <v>2</v>
      </c>
      <c r="E7" s="16"/>
      <c r="F7" s="16"/>
      <c r="G7" s="16"/>
    </row>
    <row r="8" spans="1:7" ht="38.25" customHeight="1" hidden="1">
      <c r="A8" s="18" t="s">
        <v>13</v>
      </c>
      <c r="B8" s="19" t="s">
        <v>14</v>
      </c>
      <c r="C8" s="19" t="s">
        <v>15</v>
      </c>
      <c r="D8" s="19" t="s">
        <v>16</v>
      </c>
      <c r="E8" s="19" t="s">
        <v>17</v>
      </c>
      <c r="F8" s="16"/>
      <c r="G8" s="16"/>
    </row>
    <row r="9" spans="1:7" ht="20.25" customHeight="1" hidden="1">
      <c r="A9" s="14"/>
      <c r="B9" s="17">
        <v>536</v>
      </c>
      <c r="C9" s="17">
        <v>461</v>
      </c>
      <c r="D9" s="17">
        <v>491</v>
      </c>
      <c r="E9" s="17">
        <v>506</v>
      </c>
      <c r="F9" s="16"/>
      <c r="G9" s="16"/>
    </row>
    <row r="10" spans="1:7" ht="18.75" hidden="1">
      <c r="A10" s="14" t="s">
        <v>18</v>
      </c>
      <c r="B10" s="20">
        <v>5544.1</v>
      </c>
      <c r="C10" s="16" t="s">
        <v>79</v>
      </c>
      <c r="D10" s="16"/>
      <c r="E10" s="16"/>
      <c r="F10" s="16"/>
      <c r="G10" s="16"/>
    </row>
    <row r="11" spans="1:7" ht="19.5" hidden="1">
      <c r="A11" s="14" t="s">
        <v>19</v>
      </c>
      <c r="B11" s="20">
        <v>484.7</v>
      </c>
      <c r="C11" s="20">
        <v>433.8</v>
      </c>
      <c r="D11" s="20">
        <f>B11+C11</f>
        <v>918.5</v>
      </c>
      <c r="E11" s="16"/>
      <c r="F11" s="16"/>
      <c r="G11" s="16"/>
    </row>
    <row r="12" spans="1:7" ht="50.25" customHeight="1" hidden="1">
      <c r="A12" s="14" t="s">
        <v>20</v>
      </c>
      <c r="B12" s="19" t="s">
        <v>21</v>
      </c>
      <c r="C12" s="21" t="s">
        <v>22</v>
      </c>
      <c r="D12" s="19" t="s">
        <v>23</v>
      </c>
      <c r="E12" s="22" t="s">
        <v>24</v>
      </c>
      <c r="F12" s="17" t="s">
        <v>25</v>
      </c>
      <c r="G12" s="16"/>
    </row>
    <row r="13" spans="1:7" ht="23.25" customHeight="1" hidden="1">
      <c r="A13" s="23"/>
      <c r="B13" s="24">
        <v>74</v>
      </c>
      <c r="C13" s="24">
        <v>74</v>
      </c>
      <c r="D13" s="24"/>
      <c r="E13" s="25">
        <f>D13+C13+B13</f>
        <v>148</v>
      </c>
      <c r="F13" s="17"/>
      <c r="G13" s="16"/>
    </row>
    <row r="14" spans="1:7" ht="18.75" customHeight="1">
      <c r="A14" s="26" t="s">
        <v>26</v>
      </c>
      <c r="B14" s="26"/>
      <c r="C14" s="26"/>
      <c r="D14" s="26"/>
      <c r="E14" s="26"/>
      <c r="F14" s="26"/>
      <c r="G14" s="27" t="s">
        <v>27</v>
      </c>
    </row>
    <row r="15" spans="1:7" ht="15.75">
      <c r="A15" s="28" t="s">
        <v>28</v>
      </c>
      <c r="B15" s="28"/>
      <c r="C15" s="28"/>
      <c r="D15" s="28"/>
      <c r="E15" s="28"/>
      <c r="F15" s="28"/>
      <c r="G15" s="29">
        <f>B6*7.012*4</f>
        <v>18326.563199999997</v>
      </c>
    </row>
    <row r="16" spans="1:7" ht="15.75">
      <c r="A16" s="28" t="s">
        <v>29</v>
      </c>
      <c r="B16" s="28"/>
      <c r="C16" s="28"/>
      <c r="D16" s="28"/>
      <c r="E16" s="28"/>
      <c r="F16" s="28"/>
      <c r="G16" s="29">
        <f>B7*35.705*4</f>
        <v>314.204</v>
      </c>
    </row>
    <row r="17" spans="1:7" ht="15.75" hidden="1">
      <c r="A17" s="28" t="s">
        <v>30</v>
      </c>
      <c r="B17" s="28"/>
      <c r="C17" s="28"/>
      <c r="D17" s="28"/>
      <c r="E17" s="28"/>
      <c r="F17" s="28"/>
      <c r="G17" s="29">
        <v>0</v>
      </c>
    </row>
    <row r="18" spans="1:7" ht="15.75">
      <c r="A18" s="28" t="s">
        <v>31</v>
      </c>
      <c r="B18" s="28"/>
      <c r="C18" s="28"/>
      <c r="D18" s="28"/>
      <c r="E18" s="28"/>
      <c r="F18" s="28"/>
      <c r="G18" s="29">
        <f>(B9*9.46/100*64)+(C9*7.09/100*38)+(D9*23.66/100*26)+(E9*1.77/100*5)</f>
        <v>7552.4012</v>
      </c>
    </row>
    <row r="19" spans="1:7" ht="15.75" customHeight="1">
      <c r="A19" s="30" t="s">
        <v>32</v>
      </c>
      <c r="B19" s="30"/>
      <c r="C19" s="30"/>
      <c r="D19" s="30"/>
      <c r="E19" s="30"/>
      <c r="F19" s="30"/>
      <c r="G19" s="31">
        <f>574906.73/199064.79*B3</f>
        <v>16011.572924538788</v>
      </c>
    </row>
    <row r="20" spans="1:7" ht="15.75">
      <c r="A20" s="28" t="s">
        <v>33</v>
      </c>
      <c r="B20" s="28"/>
      <c r="C20" s="28"/>
      <c r="D20" s="28"/>
      <c r="E20" s="28"/>
      <c r="F20" s="28"/>
      <c r="G20" s="29">
        <f>D11*0.14*2</f>
        <v>257.18</v>
      </c>
    </row>
    <row r="21" spans="1:7" ht="15.75" hidden="1">
      <c r="A21" s="28" t="s">
        <v>34</v>
      </c>
      <c r="B21" s="28"/>
      <c r="C21" s="28"/>
      <c r="D21" s="28"/>
      <c r="E21" s="28"/>
      <c r="F21" s="28"/>
      <c r="G21" s="29">
        <v>0</v>
      </c>
    </row>
    <row r="22" spans="1:7" ht="15.75">
      <c r="A22" s="28" t="s">
        <v>35</v>
      </c>
      <c r="B22" s="28"/>
      <c r="C22" s="28"/>
      <c r="D22" s="28"/>
      <c r="E22" s="28"/>
      <c r="F22" s="28"/>
      <c r="G22" s="29">
        <f>B3*0.845*4</f>
        <v>18739.058</v>
      </c>
    </row>
    <row r="23" spans="1:7" ht="15.75">
      <c r="A23" s="28" t="s">
        <v>36</v>
      </c>
      <c r="B23" s="28"/>
      <c r="C23" s="28"/>
      <c r="D23" s="28"/>
      <c r="E23" s="28"/>
      <c r="F23" s="28"/>
      <c r="G23" s="29">
        <f>B3*2.648*4</f>
        <v>58723.107200000006</v>
      </c>
    </row>
    <row r="24" spans="1:7" ht="15.75" hidden="1">
      <c r="A24" s="28" t="s">
        <v>37</v>
      </c>
      <c r="B24" s="28"/>
      <c r="C24" s="28"/>
      <c r="D24" s="28"/>
      <c r="E24" s="28"/>
      <c r="F24" s="28"/>
      <c r="G24" s="29">
        <v>0</v>
      </c>
    </row>
    <row r="25" spans="1:7" ht="15.75">
      <c r="A25" s="28" t="s">
        <v>38</v>
      </c>
      <c r="B25" s="28"/>
      <c r="C25" s="28"/>
      <c r="D25" s="28"/>
      <c r="E25" s="28"/>
      <c r="F25" s="28"/>
      <c r="G25" s="29">
        <f>403*4</f>
        <v>1612</v>
      </c>
    </row>
    <row r="26" spans="1:7" ht="15.75">
      <c r="A26" s="28" t="s">
        <v>39</v>
      </c>
      <c r="B26" s="28"/>
      <c r="C26" s="28"/>
      <c r="D26" s="28"/>
      <c r="E26" s="28"/>
      <c r="F26" s="28"/>
      <c r="G26" s="29">
        <f>3*352+4*251.46</f>
        <v>2061.84</v>
      </c>
    </row>
    <row r="27" spans="1:7" ht="15.75">
      <c r="A27" s="28" t="s">
        <v>40</v>
      </c>
      <c r="B27" s="28"/>
      <c r="C27" s="28"/>
      <c r="D27" s="28"/>
      <c r="E27" s="28"/>
      <c r="F27" s="28"/>
      <c r="G27" s="29">
        <f>1080.88</f>
        <v>1080.88</v>
      </c>
    </row>
    <row r="28" spans="1:7" ht="15.75" hidden="1">
      <c r="A28" s="28" t="s">
        <v>41</v>
      </c>
      <c r="B28" s="28"/>
      <c r="C28" s="28"/>
      <c r="D28" s="28"/>
      <c r="E28" s="28"/>
      <c r="F28" s="28"/>
      <c r="G28" s="29">
        <v>0</v>
      </c>
    </row>
    <row r="29" spans="1:7" ht="15.75" hidden="1">
      <c r="A29" s="28" t="s">
        <v>42</v>
      </c>
      <c r="B29" s="28"/>
      <c r="C29" s="28"/>
      <c r="D29" s="28"/>
      <c r="E29" s="28"/>
      <c r="F29" s="28"/>
      <c r="G29" s="29">
        <v>0</v>
      </c>
    </row>
    <row r="30" spans="1:7" ht="15.75">
      <c r="A30" s="28" t="s">
        <v>43</v>
      </c>
      <c r="B30" s="28"/>
      <c r="C30" s="28"/>
      <c r="D30" s="28"/>
      <c r="E30" s="28"/>
      <c r="F30" s="28"/>
      <c r="G30" s="29">
        <f>B3*1.75*4</f>
        <v>38808.700000000004</v>
      </c>
    </row>
    <row r="31" spans="1:7" ht="15.75" customHeight="1">
      <c r="A31" s="30" t="s">
        <v>44</v>
      </c>
      <c r="B31" s="30"/>
      <c r="C31" s="30"/>
      <c r="D31" s="30"/>
      <c r="E31" s="30"/>
      <c r="F31" s="30"/>
      <c r="G31" s="29">
        <f>(F13*4*8.57)+(B13*2*3.14)+(C13*1*3.14)+(D13*1*3.14)</f>
        <v>697.08</v>
      </c>
    </row>
    <row r="32" spans="1:7" ht="15.75">
      <c r="A32" s="28" t="s">
        <v>45</v>
      </c>
      <c r="B32" s="28"/>
      <c r="C32" s="28"/>
      <c r="D32" s="28"/>
      <c r="E32" s="28"/>
      <c r="F32" s="28"/>
      <c r="G32" s="29">
        <f>B3*0.65*4</f>
        <v>14414.660000000002</v>
      </c>
    </row>
    <row r="33" spans="1:7" ht="15.75">
      <c r="A33" s="28" t="s">
        <v>46</v>
      </c>
      <c r="B33" s="28"/>
      <c r="C33" s="28"/>
      <c r="D33" s="28"/>
      <c r="E33" s="28"/>
      <c r="F33" s="28"/>
      <c r="G33" s="29">
        <f>B3*0.2*4</f>
        <v>4435.280000000001</v>
      </c>
    </row>
    <row r="34" spans="1:7" ht="15.75">
      <c r="A34" s="28" t="s">
        <v>47</v>
      </c>
      <c r="B34" s="28"/>
      <c r="C34" s="28"/>
      <c r="D34" s="28"/>
      <c r="E34" s="28"/>
      <c r="F34" s="28"/>
      <c r="G34" s="29">
        <f>B3*0.7*4</f>
        <v>15523.48</v>
      </c>
    </row>
    <row r="35" spans="1:7" ht="15.75">
      <c r="A35" s="26" t="s">
        <v>48</v>
      </c>
      <c r="B35" s="26"/>
      <c r="C35" s="26"/>
      <c r="D35" s="26"/>
      <c r="E35" s="26"/>
      <c r="F35" s="26"/>
      <c r="G35" s="32">
        <f>G15+G16+G17+G18+G19+G20+G21+G22+G23+G24+G26+G30+G31+G32+G33+G34+G27+G28+G29+G25</f>
        <v>198558.0065245388</v>
      </c>
    </row>
    <row r="36" spans="1:7" ht="20.25" customHeight="1">
      <c r="A36" s="33" t="s">
        <v>49</v>
      </c>
      <c r="B36" s="33"/>
      <c r="C36" s="33"/>
      <c r="D36" s="33"/>
      <c r="E36" s="33"/>
      <c r="F36" s="33"/>
      <c r="G36" s="29"/>
    </row>
    <row r="37" spans="1:7" ht="15.75" hidden="1">
      <c r="A37" s="28" t="s">
        <v>50</v>
      </c>
      <c r="B37" s="28"/>
      <c r="C37" s="28"/>
      <c r="D37" s="28"/>
      <c r="E37" s="28"/>
      <c r="F37" s="28"/>
      <c r="G37" s="29"/>
    </row>
    <row r="38" spans="1:7" ht="15.75">
      <c r="A38" s="28" t="s">
        <v>51</v>
      </c>
      <c r="B38" s="28"/>
      <c r="C38" s="28"/>
      <c r="D38" s="28"/>
      <c r="E38" s="28"/>
      <c r="F38" s="28"/>
      <c r="G38" s="29"/>
    </row>
    <row r="39" spans="1:7" ht="15.75" hidden="1">
      <c r="A39" s="34" t="s">
        <v>52</v>
      </c>
      <c r="B39" s="34"/>
      <c r="C39" s="34"/>
      <c r="D39" s="34"/>
      <c r="E39" s="34"/>
      <c r="F39" s="34"/>
      <c r="G39" s="29"/>
    </row>
    <row r="40" spans="1:7" ht="15.75" hidden="1">
      <c r="A40" s="34" t="s">
        <v>53</v>
      </c>
      <c r="B40" s="34"/>
      <c r="C40" s="34"/>
      <c r="D40" s="34"/>
      <c r="E40" s="34"/>
      <c r="F40" s="34"/>
      <c r="G40" s="29"/>
    </row>
    <row r="41" spans="1:7" ht="15.75" hidden="1">
      <c r="A41" s="34" t="s">
        <v>54</v>
      </c>
      <c r="B41" s="34"/>
      <c r="C41" s="34"/>
      <c r="D41" s="34"/>
      <c r="E41" s="34"/>
      <c r="F41" s="34"/>
      <c r="G41" s="29"/>
    </row>
    <row r="42" spans="1:7" ht="15.75" hidden="1">
      <c r="A42" s="34" t="s">
        <v>55</v>
      </c>
      <c r="B42" s="34"/>
      <c r="C42" s="34"/>
      <c r="D42" s="34"/>
      <c r="E42" s="34"/>
      <c r="F42" s="34"/>
      <c r="G42" s="29"/>
    </row>
    <row r="43" spans="1:7" ht="15.75" hidden="1">
      <c r="A43" s="34" t="s">
        <v>56</v>
      </c>
      <c r="B43" s="34"/>
      <c r="C43" s="34"/>
      <c r="D43" s="34"/>
      <c r="E43" s="34"/>
      <c r="F43" s="34"/>
      <c r="G43" s="29"/>
    </row>
    <row r="44" spans="1:7" ht="15.75" hidden="1">
      <c r="A44" s="34" t="s">
        <v>57</v>
      </c>
      <c r="B44" s="34"/>
      <c r="C44" s="34"/>
      <c r="D44" s="34"/>
      <c r="E44" s="34"/>
      <c r="F44" s="34"/>
      <c r="G44" s="29"/>
    </row>
    <row r="45" spans="1:7" ht="15.75">
      <c r="A45" s="34" t="s">
        <v>58</v>
      </c>
      <c r="B45" s="34"/>
      <c r="C45" s="34"/>
      <c r="D45" s="34"/>
      <c r="E45" s="34"/>
      <c r="F45" s="34"/>
      <c r="G45" s="29">
        <v>337</v>
      </c>
    </row>
    <row r="46" spans="1:7" ht="15.75" hidden="1">
      <c r="A46" s="34" t="s">
        <v>59</v>
      </c>
      <c r="B46" s="34"/>
      <c r="C46" s="34"/>
      <c r="D46" s="34"/>
      <c r="E46" s="34"/>
      <c r="F46" s="34"/>
      <c r="G46" s="29"/>
    </row>
    <row r="47" spans="1:7" ht="15.75" hidden="1">
      <c r="A47" s="34" t="s">
        <v>60</v>
      </c>
      <c r="B47" s="34"/>
      <c r="C47" s="34"/>
      <c r="D47" s="34"/>
      <c r="E47" s="34"/>
      <c r="F47" s="34"/>
      <c r="G47" s="29"/>
    </row>
    <row r="48" spans="1:7" ht="15.75" hidden="1">
      <c r="A48" s="34" t="s">
        <v>61</v>
      </c>
      <c r="B48" s="34"/>
      <c r="C48" s="34"/>
      <c r="D48" s="34"/>
      <c r="E48" s="34"/>
      <c r="F48" s="34"/>
      <c r="G48" s="29"/>
    </row>
    <row r="49" spans="1:7" ht="15.75">
      <c r="A49" s="34" t="s">
        <v>62</v>
      </c>
      <c r="B49" s="34"/>
      <c r="C49" s="34"/>
      <c r="D49" s="34"/>
      <c r="E49" s="34"/>
      <c r="F49" s="34"/>
      <c r="G49" s="29">
        <v>14550</v>
      </c>
    </row>
    <row r="50" spans="1:7" ht="15.75">
      <c r="A50" s="34" t="s">
        <v>63</v>
      </c>
      <c r="B50" s="34"/>
      <c r="C50" s="34"/>
      <c r="D50" s="34"/>
      <c r="E50" s="34"/>
      <c r="F50" s="34"/>
      <c r="G50" s="29">
        <v>7850</v>
      </c>
    </row>
    <row r="51" spans="1:7" ht="15.75" hidden="1">
      <c r="A51" s="34" t="s">
        <v>64</v>
      </c>
      <c r="B51" s="34"/>
      <c r="C51" s="34"/>
      <c r="D51" s="34"/>
      <c r="E51" s="34"/>
      <c r="F51" s="34"/>
      <c r="G51" s="29"/>
    </row>
    <row r="52" spans="1:7" ht="15.75" hidden="1">
      <c r="A52" s="34" t="s">
        <v>65</v>
      </c>
      <c r="B52" s="34"/>
      <c r="C52" s="34"/>
      <c r="D52" s="34"/>
      <c r="E52" s="34"/>
      <c r="F52" s="34"/>
      <c r="G52" s="29"/>
    </row>
    <row r="53" spans="1:7" ht="18.75" customHeight="1">
      <c r="A53" s="33" t="s">
        <v>66</v>
      </c>
      <c r="B53" s="33"/>
      <c r="C53" s="33"/>
      <c r="D53" s="33"/>
      <c r="E53" s="33"/>
      <c r="F53" s="33"/>
      <c r="G53" s="32">
        <f>G39+G40+G41+G42+G43+G44+G45+G46+G47+G48+G49+G50+G51+G52</f>
        <v>22737</v>
      </c>
    </row>
    <row r="54" spans="1:7" ht="21" customHeight="1">
      <c r="A54" s="33" t="s">
        <v>67</v>
      </c>
      <c r="B54" s="33"/>
      <c r="C54" s="33"/>
      <c r="D54" s="33"/>
      <c r="E54" s="33"/>
      <c r="F54" s="33"/>
      <c r="G54" s="32">
        <f>G35+G53</f>
        <v>221295.0065245388</v>
      </c>
    </row>
    <row r="55" spans="1:7" ht="15.75" hidden="1">
      <c r="A55" s="28" t="s">
        <v>68</v>
      </c>
      <c r="B55" s="28"/>
      <c r="C55" s="28"/>
      <c r="D55" s="28"/>
      <c r="E55" s="28"/>
      <c r="F55" s="28"/>
      <c r="G55" s="29">
        <v>0</v>
      </c>
    </row>
    <row r="56" spans="1:7" ht="15.75">
      <c r="A56" s="41" t="s">
        <v>69</v>
      </c>
      <c r="B56" s="41"/>
      <c r="C56" s="41"/>
      <c r="D56" s="41"/>
      <c r="E56" s="41"/>
      <c r="F56" s="41"/>
      <c r="G56" s="29">
        <f>281.58*4+141.6*4+141.6*4</f>
        <v>2259.12</v>
      </c>
    </row>
    <row r="57" spans="1:7" ht="15.75" customHeight="1">
      <c r="A57" s="42" t="s">
        <v>70</v>
      </c>
      <c r="B57" s="42"/>
      <c r="C57" s="42"/>
      <c r="D57" s="42"/>
      <c r="E57" s="42"/>
      <c r="F57" s="42"/>
      <c r="G57" s="32">
        <f>B3*B5*4+G56</f>
        <v>268375.92000000004</v>
      </c>
    </row>
    <row r="58" spans="1:7" ht="15.75" customHeight="1">
      <c r="A58" s="43" t="s">
        <v>71</v>
      </c>
      <c r="B58" s="43"/>
      <c r="C58" s="43"/>
      <c r="D58" s="43"/>
      <c r="E58" s="43"/>
      <c r="F58" s="43"/>
      <c r="G58" s="44">
        <v>42796.58</v>
      </c>
    </row>
    <row r="59" spans="1:7" ht="68.25" customHeight="1">
      <c r="A59" s="33" t="s">
        <v>80</v>
      </c>
      <c r="B59" s="33"/>
      <c r="C59" s="33"/>
      <c r="D59" s="33"/>
      <c r="E59" s="33"/>
      <c r="F59" s="33"/>
      <c r="G59" s="32">
        <f>G54-G57+G58-G55</f>
        <v>-4284.333475461244</v>
      </c>
    </row>
  </sheetData>
  <sheetProtection selectLockedCells="1" selectUnlockedCells="1"/>
  <mergeCells count="48">
    <mergeCell ref="A1:G1"/>
    <mergeCell ref="B2:E2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G59"/>
  <sheetViews>
    <sheetView zoomScale="75" zoomScaleNormal="75" workbookViewId="0" topLeftCell="A30">
      <pane ySplit="65535" topLeftCell="A30" activePane="topLeft" state="split"/>
      <selection pane="topLeft" activeCell="G57" activeCellId="1" sqref="A77:G138 G57"/>
      <selection pane="bottomLeft" activeCell="A30" sqref="A30"/>
    </sheetView>
  </sheetViews>
  <sheetFormatPr defaultColWidth="9.140625" defaultRowHeight="12.75"/>
  <cols>
    <col min="1" max="1" width="23.8515625" style="1" customWidth="1"/>
    <col min="2" max="2" width="11.57421875" style="1" customWidth="1"/>
    <col min="3" max="5" width="9.140625" style="1" customWidth="1"/>
    <col min="6" max="6" width="21.421875" style="1" customWidth="1"/>
    <col min="7" max="7" width="15.57421875" style="1" customWidth="1"/>
    <col min="8" max="40" width="9.140625" style="1" customWidth="1"/>
    <col min="41" max="41" width="0" style="1" hidden="1" customWidth="1"/>
    <col min="42" max="44" width="0" style="2" hidden="1" customWidth="1"/>
    <col min="45" max="45" width="0" style="3" hidden="1" customWidth="1"/>
    <col min="46" max="46" width="0" style="4" hidden="1" customWidth="1"/>
    <col min="47" max="47" width="0" style="1" hidden="1" customWidth="1"/>
    <col min="48" max="16384" width="9.140625" style="1" customWidth="1"/>
  </cols>
  <sheetData>
    <row r="1" spans="1:7" ht="39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92</v>
      </c>
      <c r="C2" s="7"/>
      <c r="D2" s="7"/>
      <c r="E2" s="7"/>
      <c r="F2" s="8" t="s">
        <v>3</v>
      </c>
      <c r="G2" s="9" t="s">
        <v>93</v>
      </c>
    </row>
    <row r="3" spans="1:7" ht="18.75">
      <c r="A3" s="6" t="s">
        <v>4</v>
      </c>
      <c r="B3" s="10">
        <v>10775.3</v>
      </c>
      <c r="F3" s="8" t="s">
        <v>5</v>
      </c>
      <c r="G3" s="11">
        <v>4</v>
      </c>
    </row>
    <row r="4" spans="1:7" ht="18.75">
      <c r="A4" s="12" t="s">
        <v>6</v>
      </c>
      <c r="B4" s="13"/>
      <c r="F4" s="8" t="s">
        <v>8</v>
      </c>
      <c r="G4" s="9">
        <v>1986</v>
      </c>
    </row>
    <row r="5" spans="1:3" ht="16.5" customHeight="1">
      <c r="A5" s="12" t="s">
        <v>6</v>
      </c>
      <c r="B5" s="13">
        <v>15.08</v>
      </c>
      <c r="C5" s="1" t="s">
        <v>9</v>
      </c>
    </row>
    <row r="6" spans="1:7" ht="18.75" hidden="1">
      <c r="A6" s="14" t="s">
        <v>10</v>
      </c>
      <c r="B6" s="15">
        <v>838</v>
      </c>
      <c r="C6" s="16"/>
      <c r="D6" s="16"/>
      <c r="E6" s="16"/>
      <c r="F6" s="16"/>
      <c r="G6" s="16"/>
    </row>
    <row r="7" spans="1:7" ht="18.75" hidden="1">
      <c r="A7" s="14" t="s">
        <v>12</v>
      </c>
      <c r="B7" s="17">
        <v>3.6</v>
      </c>
      <c r="C7" s="16" t="s">
        <v>78</v>
      </c>
      <c r="D7" s="16">
        <v>4</v>
      </c>
      <c r="E7" s="16"/>
      <c r="F7" s="16"/>
      <c r="G7" s="16"/>
    </row>
    <row r="8" spans="1:7" ht="38.25" customHeight="1" hidden="1">
      <c r="A8" s="18" t="s">
        <v>13</v>
      </c>
      <c r="B8" s="19" t="s">
        <v>14</v>
      </c>
      <c r="C8" s="19" t="s">
        <v>15</v>
      </c>
      <c r="D8" s="19" t="s">
        <v>16</v>
      </c>
      <c r="E8" s="19" t="s">
        <v>17</v>
      </c>
      <c r="F8" s="16"/>
      <c r="G8" s="16"/>
    </row>
    <row r="9" spans="1:7" ht="20.25" customHeight="1" hidden="1">
      <c r="A9" s="14"/>
      <c r="B9" s="17">
        <v>1486</v>
      </c>
      <c r="C9" s="17">
        <v>1524</v>
      </c>
      <c r="D9" s="17">
        <v>1268</v>
      </c>
      <c r="E9" s="17">
        <v>1742</v>
      </c>
      <c r="F9" s="16"/>
      <c r="G9" s="16"/>
    </row>
    <row r="10" spans="1:7" ht="18.75" hidden="1">
      <c r="A10" s="14" t="s">
        <v>18</v>
      </c>
      <c r="B10" s="20">
        <v>10775.3</v>
      </c>
      <c r="C10" s="16"/>
      <c r="D10" s="16"/>
      <c r="E10" s="16"/>
      <c r="F10" s="16"/>
      <c r="G10" s="16"/>
    </row>
    <row r="11" spans="1:7" ht="19.5" hidden="1">
      <c r="A11" s="14" t="s">
        <v>19</v>
      </c>
      <c r="B11" s="20">
        <v>778.2</v>
      </c>
      <c r="C11" s="20">
        <v>751.7</v>
      </c>
      <c r="D11" s="20">
        <f>B11+C11</f>
        <v>1529.9</v>
      </c>
      <c r="E11" s="16"/>
      <c r="F11" s="16"/>
      <c r="G11" s="16"/>
    </row>
    <row r="12" spans="1:7" ht="50.25" customHeight="1" hidden="1">
      <c r="A12" s="14" t="s">
        <v>20</v>
      </c>
      <c r="B12" s="19" t="s">
        <v>21</v>
      </c>
      <c r="C12" s="21" t="s">
        <v>22</v>
      </c>
      <c r="D12" s="19" t="s">
        <v>23</v>
      </c>
      <c r="E12" s="22" t="s">
        <v>24</v>
      </c>
      <c r="F12" s="17" t="s">
        <v>25</v>
      </c>
      <c r="G12" s="16"/>
    </row>
    <row r="13" spans="1:7" ht="23.25" customHeight="1" hidden="1">
      <c r="A13" s="23"/>
      <c r="B13" s="24">
        <v>129</v>
      </c>
      <c r="C13" s="24">
        <v>129</v>
      </c>
      <c r="D13" s="24"/>
      <c r="E13" s="25">
        <f>D13+C13+B13</f>
        <v>258</v>
      </c>
      <c r="F13" s="17"/>
      <c r="G13" s="16"/>
    </row>
    <row r="14" spans="1:7" ht="18.75" customHeight="1">
      <c r="A14" s="26" t="s">
        <v>26</v>
      </c>
      <c r="B14" s="26"/>
      <c r="C14" s="26"/>
      <c r="D14" s="26"/>
      <c r="E14" s="26"/>
      <c r="F14" s="26"/>
      <c r="G14" s="27" t="s">
        <v>27</v>
      </c>
    </row>
    <row r="15" spans="1:7" ht="15.75">
      <c r="A15" s="28" t="s">
        <v>28</v>
      </c>
      <c r="B15" s="28"/>
      <c r="C15" s="28"/>
      <c r="D15" s="28"/>
      <c r="E15" s="28"/>
      <c r="F15" s="28"/>
      <c r="G15" s="29">
        <f>B6*8.689*4</f>
        <v>29125.528</v>
      </c>
    </row>
    <row r="16" spans="1:7" ht="15.75">
      <c r="A16" s="28" t="s">
        <v>29</v>
      </c>
      <c r="B16" s="28"/>
      <c r="C16" s="28"/>
      <c r="D16" s="28"/>
      <c r="E16" s="28"/>
      <c r="F16" s="28"/>
      <c r="G16" s="29">
        <f>B7*19.029*4</f>
        <v>274.0176</v>
      </c>
    </row>
    <row r="17" spans="1:7" ht="15.75">
      <c r="A17" s="28" t="s">
        <v>30</v>
      </c>
      <c r="B17" s="28"/>
      <c r="C17" s="28"/>
      <c r="D17" s="28"/>
      <c r="E17" s="28"/>
      <c r="F17" s="28"/>
      <c r="G17" s="29">
        <f>B10*0.4522*4</f>
        <v>19490.36264</v>
      </c>
    </row>
    <row r="18" spans="1:7" ht="15.75">
      <c r="A18" s="28" t="s">
        <v>31</v>
      </c>
      <c r="B18" s="28"/>
      <c r="C18" s="28"/>
      <c r="D18" s="28"/>
      <c r="E18" s="28"/>
      <c r="F18" s="28"/>
      <c r="G18" s="29">
        <f>(B9*12.84/100*64)+(C9*9.63/100*38)+(D9*32.11/100*26)+(E9*2.41/100*5)</f>
        <v>28584.215</v>
      </c>
    </row>
    <row r="19" spans="1:7" ht="15.75" customHeight="1">
      <c r="A19" s="30" t="s">
        <v>32</v>
      </c>
      <c r="B19" s="30"/>
      <c r="C19" s="30"/>
      <c r="D19" s="30"/>
      <c r="E19" s="30"/>
      <c r="F19" s="30"/>
      <c r="G19" s="31">
        <f>574906.73/199064.79*B3</f>
        <v>31119.478677113108</v>
      </c>
    </row>
    <row r="20" spans="1:7" ht="15.75">
      <c r="A20" s="28" t="s">
        <v>33</v>
      </c>
      <c r="B20" s="28"/>
      <c r="C20" s="28"/>
      <c r="D20" s="28"/>
      <c r="E20" s="28"/>
      <c r="F20" s="28"/>
      <c r="G20" s="29">
        <f>D11*0.14*2</f>
        <v>428.37200000000007</v>
      </c>
    </row>
    <row r="21" spans="1:7" ht="15.75" hidden="1">
      <c r="A21" s="28" t="s">
        <v>34</v>
      </c>
      <c r="B21" s="28"/>
      <c r="C21" s="28"/>
      <c r="D21" s="28"/>
      <c r="E21" s="28"/>
      <c r="F21" s="28"/>
      <c r="G21" s="29">
        <v>0</v>
      </c>
    </row>
    <row r="22" spans="1:7" ht="15.75">
      <c r="A22" s="28" t="s">
        <v>35</v>
      </c>
      <c r="B22" s="28"/>
      <c r="C22" s="28"/>
      <c r="D22" s="28"/>
      <c r="E22" s="28"/>
      <c r="F22" s="28"/>
      <c r="G22" s="29">
        <f>B3*0.845*4</f>
        <v>36420.513999999996</v>
      </c>
    </row>
    <row r="23" spans="1:7" ht="15.75">
      <c r="A23" s="28" t="s">
        <v>36</v>
      </c>
      <c r="B23" s="28"/>
      <c r="C23" s="28"/>
      <c r="D23" s="28"/>
      <c r="E23" s="28"/>
      <c r="F23" s="28"/>
      <c r="G23" s="29">
        <f>B3*2.648*4</f>
        <v>114131.9776</v>
      </c>
    </row>
    <row r="24" spans="1:7" ht="15.75" hidden="1">
      <c r="A24" s="28" t="s">
        <v>37</v>
      </c>
      <c r="B24" s="28"/>
      <c r="C24" s="28"/>
      <c r="D24" s="28"/>
      <c r="E24" s="28"/>
      <c r="F24" s="28"/>
      <c r="G24" s="29">
        <v>0</v>
      </c>
    </row>
    <row r="25" spans="1:7" ht="15.75">
      <c r="A25" s="28" t="s">
        <v>38</v>
      </c>
      <c r="B25" s="28"/>
      <c r="C25" s="28"/>
      <c r="D25" s="28"/>
      <c r="E25" s="28"/>
      <c r="F25" s="28"/>
      <c r="G25" s="29">
        <f>403*4</f>
        <v>1612</v>
      </c>
    </row>
    <row r="26" spans="1:7" ht="15.75">
      <c r="A26" s="28" t="s">
        <v>39</v>
      </c>
      <c r="B26" s="28"/>
      <c r="C26" s="28"/>
      <c r="D26" s="28"/>
      <c r="E26" s="28"/>
      <c r="F26" s="28"/>
      <c r="G26" s="29">
        <f>1*352+1*251.46+25451.6+9514.52</f>
        <v>35569.58</v>
      </c>
    </row>
    <row r="27" spans="1:7" ht="15.75">
      <c r="A27" s="28" t="s">
        <v>40</v>
      </c>
      <c r="B27" s="28"/>
      <c r="C27" s="28"/>
      <c r="D27" s="28"/>
      <c r="E27" s="28"/>
      <c r="F27" s="28"/>
      <c r="G27" s="29">
        <f>1080.88</f>
        <v>1080.88</v>
      </c>
    </row>
    <row r="28" spans="1:7" ht="15.75" hidden="1">
      <c r="A28" s="28" t="s">
        <v>41</v>
      </c>
      <c r="B28" s="28"/>
      <c r="C28" s="28"/>
      <c r="D28" s="28"/>
      <c r="E28" s="28"/>
      <c r="F28" s="28"/>
      <c r="G28" s="29">
        <v>0</v>
      </c>
    </row>
    <row r="29" spans="1:7" ht="15.75" hidden="1">
      <c r="A29" s="28" t="s">
        <v>42</v>
      </c>
      <c r="B29" s="28"/>
      <c r="C29" s="28"/>
      <c r="D29" s="28"/>
      <c r="E29" s="28"/>
      <c r="F29" s="28"/>
      <c r="G29" s="29">
        <v>0</v>
      </c>
    </row>
    <row r="30" spans="1:7" ht="15.75">
      <c r="A30" s="28" t="s">
        <v>43</v>
      </c>
      <c r="B30" s="28"/>
      <c r="C30" s="28"/>
      <c r="D30" s="28"/>
      <c r="E30" s="28"/>
      <c r="F30" s="28"/>
      <c r="G30" s="29">
        <f>B3*1.75*4</f>
        <v>75427.09999999999</v>
      </c>
    </row>
    <row r="31" spans="1:7" ht="15.75" customHeight="1">
      <c r="A31" s="30" t="s">
        <v>44</v>
      </c>
      <c r="B31" s="30"/>
      <c r="C31" s="30"/>
      <c r="D31" s="30"/>
      <c r="E31" s="30"/>
      <c r="F31" s="30"/>
      <c r="G31" s="29">
        <f>(F13*4*8.57)+(B13*2*3.14)+(C13*1*3.14)+(D13*1*3.14)</f>
        <v>1215.18</v>
      </c>
    </row>
    <row r="32" spans="1:7" ht="15.75">
      <c r="A32" s="28" t="s">
        <v>45</v>
      </c>
      <c r="B32" s="28"/>
      <c r="C32" s="28"/>
      <c r="D32" s="28"/>
      <c r="E32" s="28"/>
      <c r="F32" s="28"/>
      <c r="G32" s="29">
        <f>B3*0.65*4</f>
        <v>28015.78</v>
      </c>
    </row>
    <row r="33" spans="1:7" ht="15.75">
      <c r="A33" s="28" t="s">
        <v>46</v>
      </c>
      <c r="B33" s="28"/>
      <c r="C33" s="28"/>
      <c r="D33" s="28"/>
      <c r="E33" s="28"/>
      <c r="F33" s="28"/>
      <c r="G33" s="29">
        <f>B3*0.2*4</f>
        <v>8620.24</v>
      </c>
    </row>
    <row r="34" spans="1:7" ht="15.75">
      <c r="A34" s="28" t="s">
        <v>47</v>
      </c>
      <c r="B34" s="28"/>
      <c r="C34" s="28"/>
      <c r="D34" s="28"/>
      <c r="E34" s="28"/>
      <c r="F34" s="28"/>
      <c r="G34" s="29">
        <f>B3*0.7*4</f>
        <v>30170.839999999997</v>
      </c>
    </row>
    <row r="35" spans="1:7" ht="15.75">
      <c r="A35" s="26" t="s">
        <v>48</v>
      </c>
      <c r="B35" s="26"/>
      <c r="C35" s="26"/>
      <c r="D35" s="26"/>
      <c r="E35" s="26"/>
      <c r="F35" s="26"/>
      <c r="G35" s="32">
        <f>G15+G16+G17+G18+G19+G20+G21+G22+G23+G24+G26+G30+G31+G32+G33+G34+G27+G28+G29+G25</f>
        <v>441286.0655171131</v>
      </c>
    </row>
    <row r="36" spans="1:7" ht="20.25" customHeight="1">
      <c r="A36" s="33" t="s">
        <v>49</v>
      </c>
      <c r="B36" s="33"/>
      <c r="C36" s="33"/>
      <c r="D36" s="33"/>
      <c r="E36" s="33"/>
      <c r="F36" s="33"/>
      <c r="G36" s="29"/>
    </row>
    <row r="37" spans="1:7" ht="15.75" hidden="1">
      <c r="A37" s="28" t="s">
        <v>50</v>
      </c>
      <c r="B37" s="28"/>
      <c r="C37" s="28"/>
      <c r="D37" s="28"/>
      <c r="E37" s="28"/>
      <c r="F37" s="28"/>
      <c r="G37" s="29"/>
    </row>
    <row r="38" spans="1:7" ht="15.75">
      <c r="A38" s="28" t="s">
        <v>51</v>
      </c>
      <c r="B38" s="28"/>
      <c r="C38" s="28"/>
      <c r="D38" s="28"/>
      <c r="E38" s="28"/>
      <c r="F38" s="28"/>
      <c r="G38" s="29"/>
    </row>
    <row r="39" spans="1:7" ht="15.75">
      <c r="A39" s="34" t="s">
        <v>52</v>
      </c>
      <c r="B39" s="34"/>
      <c r="C39" s="34"/>
      <c r="D39" s="34"/>
      <c r="E39" s="34"/>
      <c r="F39" s="34"/>
      <c r="G39" s="29">
        <v>38390</v>
      </c>
    </row>
    <row r="40" spans="1:7" ht="15.75" hidden="1">
      <c r="A40" s="34" t="s">
        <v>53</v>
      </c>
      <c r="B40" s="34"/>
      <c r="C40" s="34"/>
      <c r="D40" s="34"/>
      <c r="E40" s="34"/>
      <c r="F40" s="34"/>
      <c r="G40" s="29"/>
    </row>
    <row r="41" spans="1:7" ht="15.75" hidden="1">
      <c r="A41" s="34" t="s">
        <v>54</v>
      </c>
      <c r="B41" s="34"/>
      <c r="C41" s="34"/>
      <c r="D41" s="34"/>
      <c r="E41" s="34"/>
      <c r="F41" s="34"/>
      <c r="G41" s="29"/>
    </row>
    <row r="42" spans="1:7" ht="15.75" hidden="1">
      <c r="A42" s="34" t="s">
        <v>55</v>
      </c>
      <c r="B42" s="34"/>
      <c r="C42" s="34"/>
      <c r="D42" s="34"/>
      <c r="E42" s="34"/>
      <c r="F42" s="34"/>
      <c r="G42" s="29"/>
    </row>
    <row r="43" spans="1:7" ht="15.75" hidden="1">
      <c r="A43" s="34" t="s">
        <v>56</v>
      </c>
      <c r="B43" s="34"/>
      <c r="C43" s="34"/>
      <c r="D43" s="34"/>
      <c r="E43" s="34"/>
      <c r="F43" s="34"/>
      <c r="G43" s="29"/>
    </row>
    <row r="44" spans="1:7" ht="15.75" hidden="1">
      <c r="A44" s="34" t="s">
        <v>57</v>
      </c>
      <c r="B44" s="34"/>
      <c r="C44" s="34"/>
      <c r="D44" s="34"/>
      <c r="E44" s="34"/>
      <c r="F44" s="34"/>
      <c r="G44" s="29"/>
    </row>
    <row r="45" spans="1:7" ht="15.75">
      <c r="A45" s="34" t="s">
        <v>58</v>
      </c>
      <c r="B45" s="34"/>
      <c r="C45" s="34"/>
      <c r="D45" s="34"/>
      <c r="E45" s="34"/>
      <c r="F45" s="34"/>
      <c r="G45" s="29">
        <v>1985</v>
      </c>
    </row>
    <row r="46" spans="1:7" ht="15.75">
      <c r="A46" s="34" t="s">
        <v>59</v>
      </c>
      <c r="B46" s="34"/>
      <c r="C46" s="34"/>
      <c r="D46" s="34"/>
      <c r="E46" s="34"/>
      <c r="F46" s="34"/>
      <c r="G46" s="29">
        <v>5460</v>
      </c>
    </row>
    <row r="47" spans="1:7" ht="15.75" hidden="1">
      <c r="A47" s="34" t="s">
        <v>60</v>
      </c>
      <c r="B47" s="34"/>
      <c r="C47" s="34"/>
      <c r="D47" s="34"/>
      <c r="E47" s="34"/>
      <c r="F47" s="34"/>
      <c r="G47" s="29"/>
    </row>
    <row r="48" spans="1:7" ht="15.75">
      <c r="A48" s="34" t="s">
        <v>61</v>
      </c>
      <c r="B48" s="34"/>
      <c r="C48" s="34"/>
      <c r="D48" s="34"/>
      <c r="E48" s="34"/>
      <c r="F48" s="34"/>
      <c r="G48" s="29">
        <v>2290</v>
      </c>
    </row>
    <row r="49" spans="1:7" ht="15.75">
      <c r="A49" s="34" t="s">
        <v>62</v>
      </c>
      <c r="B49" s="34"/>
      <c r="C49" s="34"/>
      <c r="D49" s="34"/>
      <c r="E49" s="34"/>
      <c r="F49" s="34"/>
      <c r="G49" s="29">
        <v>18600</v>
      </c>
    </row>
    <row r="50" spans="1:7" ht="15.75">
      <c r="A50" s="34" t="s">
        <v>63</v>
      </c>
      <c r="B50" s="34"/>
      <c r="C50" s="34"/>
      <c r="D50" s="34"/>
      <c r="E50" s="34"/>
      <c r="F50" s="34"/>
      <c r="G50" s="29">
        <v>18670</v>
      </c>
    </row>
    <row r="51" spans="1:7" ht="15.75" hidden="1">
      <c r="A51" s="34" t="s">
        <v>64</v>
      </c>
      <c r="B51" s="34"/>
      <c r="C51" s="34"/>
      <c r="D51" s="34"/>
      <c r="E51" s="34"/>
      <c r="F51" s="34"/>
      <c r="G51" s="29"/>
    </row>
    <row r="52" spans="1:7" ht="15.75" hidden="1">
      <c r="A52" s="34" t="s">
        <v>65</v>
      </c>
      <c r="B52" s="34"/>
      <c r="C52" s="34"/>
      <c r="D52" s="34"/>
      <c r="E52" s="34"/>
      <c r="F52" s="34"/>
      <c r="G52" s="29"/>
    </row>
    <row r="53" spans="1:7" ht="15.75" customHeight="1">
      <c r="A53" s="33" t="s">
        <v>66</v>
      </c>
      <c r="B53" s="33"/>
      <c r="C53" s="33"/>
      <c r="D53" s="33"/>
      <c r="E53" s="33"/>
      <c r="F53" s="33"/>
      <c r="G53" s="32">
        <f>G39+G40+G41+G42+G43+G44+G45+G46+G47+G48+G49+G50+G51+G52</f>
        <v>85395</v>
      </c>
    </row>
    <row r="54" spans="1:7" ht="15.75" customHeight="1">
      <c r="A54" s="33" t="s">
        <v>67</v>
      </c>
      <c r="B54" s="33"/>
      <c r="C54" s="33"/>
      <c r="D54" s="33"/>
      <c r="E54" s="33"/>
      <c r="F54" s="33"/>
      <c r="G54" s="32">
        <f>G35+G53</f>
        <v>526681.0655171131</v>
      </c>
    </row>
    <row r="55" spans="1:7" ht="15.75" hidden="1">
      <c r="A55" s="28" t="s">
        <v>68</v>
      </c>
      <c r="B55" s="28"/>
      <c r="C55" s="28"/>
      <c r="D55" s="28"/>
      <c r="E55" s="28"/>
      <c r="F55" s="28"/>
      <c r="G55" s="29">
        <v>0</v>
      </c>
    </row>
    <row r="56" spans="1:7" s="1" customFormat="1" ht="15.75">
      <c r="A56" s="41" t="s">
        <v>69</v>
      </c>
      <c r="B56" s="41"/>
      <c r="C56" s="41"/>
      <c r="D56" s="41"/>
      <c r="E56" s="41"/>
      <c r="F56" s="41"/>
      <c r="G56" s="29">
        <f>2*281.58*4+141.6*4+141.6*4+180*4</f>
        <v>4105.4400000000005</v>
      </c>
    </row>
    <row r="57" spans="1:7" ht="15.75" customHeight="1">
      <c r="A57" s="42" t="s">
        <v>70</v>
      </c>
      <c r="B57" s="42"/>
      <c r="C57" s="42"/>
      <c r="D57" s="42"/>
      <c r="E57" s="42"/>
      <c r="F57" s="42"/>
      <c r="G57" s="32">
        <f>B3*B5*4+G56</f>
        <v>654071.5359999998</v>
      </c>
    </row>
    <row r="58" spans="1:7" ht="15.75" customHeight="1">
      <c r="A58" s="43" t="s">
        <v>71</v>
      </c>
      <c r="B58" s="43"/>
      <c r="C58" s="43"/>
      <c r="D58" s="43"/>
      <c r="E58" s="43"/>
      <c r="F58" s="43"/>
      <c r="G58" s="44">
        <v>36937.25</v>
      </c>
    </row>
    <row r="59" spans="1:7" ht="61.5" customHeight="1">
      <c r="A59" s="33" t="s">
        <v>94</v>
      </c>
      <c r="B59" s="33"/>
      <c r="C59" s="33"/>
      <c r="D59" s="33"/>
      <c r="E59" s="33"/>
      <c r="F59" s="33"/>
      <c r="G59" s="32">
        <f>G54-G57-G55+G58</f>
        <v>-90453.22048288677</v>
      </c>
    </row>
  </sheetData>
  <sheetProtection selectLockedCells="1" selectUnlockedCells="1"/>
  <mergeCells count="48">
    <mergeCell ref="A1:G1"/>
    <mergeCell ref="B2:E2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0"/>
  </sheetPr>
  <dimension ref="A1:G59"/>
  <sheetViews>
    <sheetView zoomScale="75" zoomScaleNormal="75" workbookViewId="0" topLeftCell="A33">
      <pane ySplit="65535" topLeftCell="A33" activePane="topLeft" state="split"/>
      <selection pane="topLeft" activeCell="G58" activeCellId="1" sqref="A77:G138 G58"/>
      <selection pane="bottomLeft" activeCell="A33" sqref="A33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4.57421875" style="1" customWidth="1"/>
    <col min="8" max="16384" width="9.140625" style="1" customWidth="1"/>
  </cols>
  <sheetData>
    <row r="1" spans="1:7" ht="40.5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73</v>
      </c>
      <c r="B2" s="7" t="s">
        <v>95</v>
      </c>
      <c r="C2" s="7"/>
      <c r="D2" s="7"/>
      <c r="E2" s="7"/>
      <c r="F2" s="8" t="s">
        <v>3</v>
      </c>
      <c r="G2" s="9">
        <v>9</v>
      </c>
    </row>
    <row r="3" spans="1:7" ht="18.75">
      <c r="A3" s="6" t="s">
        <v>75</v>
      </c>
      <c r="B3" s="10">
        <v>11801.6</v>
      </c>
      <c r="F3" s="8" t="s">
        <v>5</v>
      </c>
      <c r="G3" s="11">
        <v>5</v>
      </c>
    </row>
    <row r="4" spans="1:7" ht="18.75">
      <c r="A4" s="12" t="s">
        <v>76</v>
      </c>
      <c r="B4" s="13"/>
      <c r="F4" s="8" t="s">
        <v>8</v>
      </c>
      <c r="G4" s="9">
        <v>1986</v>
      </c>
    </row>
    <row r="5" spans="1:3" ht="16.5" customHeight="1">
      <c r="A5" s="12" t="s">
        <v>76</v>
      </c>
      <c r="B5" s="13">
        <v>12.11</v>
      </c>
      <c r="C5" s="1" t="s">
        <v>9</v>
      </c>
    </row>
    <row r="6" spans="1:7" ht="18.75" hidden="1">
      <c r="A6" s="14" t="s">
        <v>10</v>
      </c>
      <c r="B6" s="15">
        <v>1746.1</v>
      </c>
      <c r="C6" s="16"/>
      <c r="D6" s="16"/>
      <c r="E6" s="16"/>
      <c r="F6" s="16"/>
      <c r="G6" s="16"/>
    </row>
    <row r="7" spans="1:7" ht="18.75" hidden="1">
      <c r="A7" s="14" t="s">
        <v>12</v>
      </c>
      <c r="B7" s="17">
        <v>5.5</v>
      </c>
      <c r="C7" s="16" t="s">
        <v>78</v>
      </c>
      <c r="D7" s="16">
        <v>5</v>
      </c>
      <c r="E7" s="16"/>
      <c r="F7" s="16"/>
      <c r="G7" s="16"/>
    </row>
    <row r="8" spans="1:7" ht="38.25" customHeight="1" hidden="1">
      <c r="A8" s="18" t="s">
        <v>13</v>
      </c>
      <c r="B8" s="19" t="s">
        <v>14</v>
      </c>
      <c r="C8" s="19" t="s">
        <v>15</v>
      </c>
      <c r="D8" s="19" t="s">
        <v>16</v>
      </c>
      <c r="E8" s="19" t="s">
        <v>17</v>
      </c>
      <c r="F8" s="16"/>
      <c r="G8" s="16"/>
    </row>
    <row r="9" spans="1:7" ht="20.25" customHeight="1" hidden="1">
      <c r="A9" s="14"/>
      <c r="B9" s="17">
        <v>1530</v>
      </c>
      <c r="C9" s="17">
        <v>4400</v>
      </c>
      <c r="D9" s="17">
        <v>1196</v>
      </c>
      <c r="E9" s="17">
        <v>4734</v>
      </c>
      <c r="F9" s="16"/>
      <c r="G9" s="16"/>
    </row>
    <row r="10" spans="1:7" ht="18.75" hidden="1">
      <c r="A10" s="14" t="s">
        <v>18</v>
      </c>
      <c r="B10" s="20">
        <v>11801.6</v>
      </c>
      <c r="C10" s="16" t="s">
        <v>96</v>
      </c>
      <c r="D10" s="16"/>
      <c r="E10" s="16"/>
      <c r="F10" s="16"/>
      <c r="G10" s="16"/>
    </row>
    <row r="11" spans="1:7" ht="19.5" hidden="1">
      <c r="A11" s="14" t="s">
        <v>19</v>
      </c>
      <c r="B11" s="20">
        <v>1541.7</v>
      </c>
      <c r="C11" s="20">
        <v>1117.8</v>
      </c>
      <c r="D11" s="20">
        <f>B11+C11</f>
        <v>2659.5</v>
      </c>
      <c r="E11" s="16"/>
      <c r="F11" s="16"/>
      <c r="G11" s="16"/>
    </row>
    <row r="12" spans="1:7" ht="50.25" customHeight="1" hidden="1">
      <c r="A12" s="14" t="s">
        <v>20</v>
      </c>
      <c r="B12" s="19" t="s">
        <v>21</v>
      </c>
      <c r="C12" s="21" t="s">
        <v>22</v>
      </c>
      <c r="D12" s="19" t="s">
        <v>23</v>
      </c>
      <c r="E12" s="22" t="s">
        <v>24</v>
      </c>
      <c r="F12" s="17" t="s">
        <v>25</v>
      </c>
      <c r="G12" s="16"/>
    </row>
    <row r="13" spans="1:7" ht="23.25" customHeight="1" hidden="1">
      <c r="A13" s="23"/>
      <c r="B13" s="24">
        <v>180</v>
      </c>
      <c r="C13" s="24">
        <v>180</v>
      </c>
      <c r="D13" s="24"/>
      <c r="E13" s="25">
        <f>D13+C13+B13</f>
        <v>360</v>
      </c>
      <c r="F13" s="17"/>
      <c r="G13" s="16"/>
    </row>
    <row r="14" spans="1:7" ht="18.75" customHeight="1">
      <c r="A14" s="26" t="s">
        <v>26</v>
      </c>
      <c r="B14" s="26"/>
      <c r="C14" s="26"/>
      <c r="D14" s="26"/>
      <c r="E14" s="26"/>
      <c r="F14" s="26"/>
      <c r="G14" s="27" t="s">
        <v>27</v>
      </c>
    </row>
    <row r="15" spans="1:7" ht="15.75">
      <c r="A15" s="28" t="s">
        <v>28</v>
      </c>
      <c r="B15" s="28"/>
      <c r="C15" s="28"/>
      <c r="D15" s="28"/>
      <c r="E15" s="28"/>
      <c r="F15" s="28"/>
      <c r="G15" s="29">
        <f>B6*7.012*4</f>
        <v>48974.612799999995</v>
      </c>
    </row>
    <row r="16" spans="1:7" ht="15.75">
      <c r="A16" s="28" t="s">
        <v>29</v>
      </c>
      <c r="B16" s="28"/>
      <c r="C16" s="28"/>
      <c r="D16" s="28"/>
      <c r="E16" s="28"/>
      <c r="F16" s="28"/>
      <c r="G16" s="29">
        <f>B7*35.705*4</f>
        <v>785.51</v>
      </c>
    </row>
    <row r="17" spans="1:7" ht="15.75" hidden="1">
      <c r="A17" s="28" t="s">
        <v>30</v>
      </c>
      <c r="B17" s="28"/>
      <c r="C17" s="28"/>
      <c r="D17" s="28"/>
      <c r="E17" s="28"/>
      <c r="F17" s="28"/>
      <c r="G17" s="29">
        <v>0</v>
      </c>
    </row>
    <row r="18" spans="1:7" ht="15.75">
      <c r="A18" s="28" t="s">
        <v>31</v>
      </c>
      <c r="B18" s="28"/>
      <c r="C18" s="28"/>
      <c r="D18" s="28"/>
      <c r="E18" s="28"/>
      <c r="F18" s="28"/>
      <c r="G18" s="29">
        <f>(B9*9.46/100*64)+(C9*7.09/100*38)+(D9*23.66/100*26)+(E9*1.77/100*5)</f>
        <v>28893.9846</v>
      </c>
    </row>
    <row r="19" spans="1:7" ht="15.75" customHeight="1">
      <c r="A19" s="30" t="s">
        <v>32</v>
      </c>
      <c r="B19" s="30"/>
      <c r="C19" s="30"/>
      <c r="D19" s="30"/>
      <c r="E19" s="30"/>
      <c r="F19" s="30"/>
      <c r="G19" s="31">
        <f>574906.73/199064.79*B3</f>
        <v>34083.47234469742</v>
      </c>
    </row>
    <row r="20" spans="1:7" ht="15.75">
      <c r="A20" s="28" t="s">
        <v>33</v>
      </c>
      <c r="B20" s="28"/>
      <c r="C20" s="28"/>
      <c r="D20" s="28"/>
      <c r="E20" s="28"/>
      <c r="F20" s="28"/>
      <c r="G20" s="29">
        <f>D11*0.14*2+2389.64+1927.13</f>
        <v>5061.43</v>
      </c>
    </row>
    <row r="21" spans="1:7" ht="15.75" hidden="1">
      <c r="A21" s="28" t="s">
        <v>34</v>
      </c>
      <c r="B21" s="28"/>
      <c r="C21" s="28"/>
      <c r="D21" s="28"/>
      <c r="E21" s="28"/>
      <c r="F21" s="28"/>
      <c r="G21" s="29">
        <v>0</v>
      </c>
    </row>
    <row r="22" spans="1:7" ht="15.75">
      <c r="A22" s="28" t="s">
        <v>35</v>
      </c>
      <c r="B22" s="28"/>
      <c r="C22" s="28"/>
      <c r="D22" s="28"/>
      <c r="E22" s="28"/>
      <c r="F22" s="28"/>
      <c r="G22" s="29">
        <f>B3*0.845*4</f>
        <v>39889.408</v>
      </c>
    </row>
    <row r="23" spans="1:7" ht="15.75">
      <c r="A23" s="28" t="s">
        <v>36</v>
      </c>
      <c r="B23" s="28"/>
      <c r="C23" s="28"/>
      <c r="D23" s="28"/>
      <c r="E23" s="28"/>
      <c r="F23" s="28"/>
      <c r="G23" s="29">
        <f>B3*2.648*4</f>
        <v>125002.54720000002</v>
      </c>
    </row>
    <row r="24" spans="1:7" ht="15.75" hidden="1">
      <c r="A24" s="28" t="s">
        <v>37</v>
      </c>
      <c r="B24" s="28"/>
      <c r="C24" s="28"/>
      <c r="D24" s="28"/>
      <c r="E24" s="28"/>
      <c r="F24" s="28"/>
      <c r="G24" s="29">
        <v>0</v>
      </c>
    </row>
    <row r="25" spans="1:7" ht="15.75">
      <c r="A25" s="28" t="s">
        <v>38</v>
      </c>
      <c r="B25" s="28"/>
      <c r="C25" s="28"/>
      <c r="D25" s="28"/>
      <c r="E25" s="28"/>
      <c r="F25" s="28"/>
      <c r="G25" s="29">
        <f>403*4</f>
        <v>1612</v>
      </c>
    </row>
    <row r="26" spans="1:7" ht="15.75">
      <c r="A26" s="28" t="s">
        <v>39</v>
      </c>
      <c r="B26" s="28"/>
      <c r="C26" s="28"/>
      <c r="D26" s="28"/>
      <c r="E26" s="28"/>
      <c r="F26" s="28"/>
      <c r="G26" s="29">
        <f>2*352+4*251.46+1357.81</f>
        <v>3067.65</v>
      </c>
    </row>
    <row r="27" spans="1:7" ht="15.75">
      <c r="A27" s="28" t="s">
        <v>40</v>
      </c>
      <c r="B27" s="28"/>
      <c r="C27" s="28"/>
      <c r="D27" s="28"/>
      <c r="E27" s="28"/>
      <c r="F27" s="28"/>
      <c r="G27" s="29">
        <f>1080.88</f>
        <v>1080.88</v>
      </c>
    </row>
    <row r="28" spans="1:7" ht="15.75" hidden="1">
      <c r="A28" s="28" t="s">
        <v>41</v>
      </c>
      <c r="B28" s="28"/>
      <c r="C28" s="28"/>
      <c r="D28" s="28"/>
      <c r="E28" s="28"/>
      <c r="F28" s="28"/>
      <c r="G28" s="29">
        <v>0</v>
      </c>
    </row>
    <row r="29" spans="1:7" ht="15.75" hidden="1">
      <c r="A29" s="28" t="s">
        <v>42</v>
      </c>
      <c r="B29" s="28"/>
      <c r="C29" s="28"/>
      <c r="D29" s="28"/>
      <c r="E29" s="28"/>
      <c r="F29" s="28"/>
      <c r="G29" s="29">
        <v>0</v>
      </c>
    </row>
    <row r="30" spans="1:7" ht="15.75">
      <c r="A30" s="28" t="s">
        <v>43</v>
      </c>
      <c r="B30" s="28"/>
      <c r="C30" s="28"/>
      <c r="D30" s="28"/>
      <c r="E30" s="28"/>
      <c r="F30" s="28"/>
      <c r="G30" s="29">
        <f>B3*1.75*4</f>
        <v>82611.2</v>
      </c>
    </row>
    <row r="31" spans="1:7" ht="15.75" customHeight="1">
      <c r="A31" s="30" t="s">
        <v>44</v>
      </c>
      <c r="B31" s="30"/>
      <c r="C31" s="30"/>
      <c r="D31" s="30"/>
      <c r="E31" s="30"/>
      <c r="F31" s="30"/>
      <c r="G31" s="29">
        <f>(F13*4*8.57)+(B13*2*3.14)+(C13*1*3.14)+(D13*1*3.14)</f>
        <v>1695.6000000000001</v>
      </c>
    </row>
    <row r="32" spans="1:7" ht="15.75">
      <c r="A32" s="28" t="s">
        <v>45</v>
      </c>
      <c r="B32" s="28"/>
      <c r="C32" s="28"/>
      <c r="D32" s="28"/>
      <c r="E32" s="28"/>
      <c r="F32" s="28"/>
      <c r="G32" s="29">
        <f>B3*0.65*4</f>
        <v>30684.160000000003</v>
      </c>
    </row>
    <row r="33" spans="1:7" ht="15.75">
      <c r="A33" s="28" t="s">
        <v>46</v>
      </c>
      <c r="B33" s="28"/>
      <c r="C33" s="28"/>
      <c r="D33" s="28"/>
      <c r="E33" s="28"/>
      <c r="F33" s="28"/>
      <c r="G33" s="29">
        <f>B3*0.2*4</f>
        <v>9441.28</v>
      </c>
    </row>
    <row r="34" spans="1:7" ht="15.75">
      <c r="A34" s="28" t="s">
        <v>47</v>
      </c>
      <c r="B34" s="28"/>
      <c r="C34" s="28"/>
      <c r="D34" s="28"/>
      <c r="E34" s="28"/>
      <c r="F34" s="28"/>
      <c r="G34" s="29">
        <f>B3*0.7*4</f>
        <v>33044.479999999996</v>
      </c>
    </row>
    <row r="35" spans="1:7" ht="15.75">
      <c r="A35" s="26" t="s">
        <v>48</v>
      </c>
      <c r="B35" s="26"/>
      <c r="C35" s="26"/>
      <c r="D35" s="26"/>
      <c r="E35" s="26"/>
      <c r="F35" s="26"/>
      <c r="G35" s="32">
        <f>G15+G16+G17+G18+G19+G20+G21+G22+G23+G24+G26+G30+G31+G32+G33+G34+G27+G28+G29+G25</f>
        <v>445928.21494469745</v>
      </c>
    </row>
    <row r="36" spans="1:7" ht="20.25" customHeight="1">
      <c r="A36" s="33" t="s">
        <v>49</v>
      </c>
      <c r="B36" s="33"/>
      <c r="C36" s="33"/>
      <c r="D36" s="33"/>
      <c r="E36" s="33"/>
      <c r="F36" s="33"/>
      <c r="G36" s="29"/>
    </row>
    <row r="37" spans="1:7" ht="15.75" hidden="1">
      <c r="A37" s="28" t="s">
        <v>50</v>
      </c>
      <c r="B37" s="28"/>
      <c r="C37" s="28"/>
      <c r="D37" s="28"/>
      <c r="E37" s="28"/>
      <c r="F37" s="28"/>
      <c r="G37" s="29">
        <v>0</v>
      </c>
    </row>
    <row r="38" spans="1:7" ht="15.75">
      <c r="A38" s="28" t="s">
        <v>51</v>
      </c>
      <c r="B38" s="28"/>
      <c r="C38" s="28"/>
      <c r="D38" s="28"/>
      <c r="E38" s="28"/>
      <c r="F38" s="28"/>
      <c r="G38" s="29"/>
    </row>
    <row r="39" spans="1:7" ht="15.75" hidden="1">
      <c r="A39" s="34" t="s">
        <v>52</v>
      </c>
      <c r="B39" s="34"/>
      <c r="C39" s="34"/>
      <c r="D39" s="34"/>
      <c r="E39" s="34"/>
      <c r="F39" s="34"/>
      <c r="G39" s="29"/>
    </row>
    <row r="40" spans="1:7" ht="15.75" hidden="1">
      <c r="A40" s="34" t="s">
        <v>53</v>
      </c>
      <c r="B40" s="34"/>
      <c r="C40" s="34"/>
      <c r="D40" s="34"/>
      <c r="E40" s="34"/>
      <c r="F40" s="34"/>
      <c r="G40" s="29"/>
    </row>
    <row r="41" spans="1:7" ht="15.75" hidden="1">
      <c r="A41" s="34" t="s">
        <v>54</v>
      </c>
      <c r="B41" s="34"/>
      <c r="C41" s="34"/>
      <c r="D41" s="34"/>
      <c r="E41" s="34"/>
      <c r="F41" s="34"/>
      <c r="G41" s="29"/>
    </row>
    <row r="42" spans="1:7" ht="15.75" hidden="1">
      <c r="A42" s="34" t="s">
        <v>55</v>
      </c>
      <c r="B42" s="34"/>
      <c r="C42" s="34"/>
      <c r="D42" s="34"/>
      <c r="E42" s="34"/>
      <c r="F42" s="34"/>
      <c r="G42" s="29"/>
    </row>
    <row r="43" spans="1:7" ht="15.75" hidden="1">
      <c r="A43" s="34" t="s">
        <v>56</v>
      </c>
      <c r="B43" s="34"/>
      <c r="C43" s="34"/>
      <c r="D43" s="34"/>
      <c r="E43" s="34"/>
      <c r="F43" s="34"/>
      <c r="G43" s="29"/>
    </row>
    <row r="44" spans="1:7" ht="15.75">
      <c r="A44" s="34" t="s">
        <v>57</v>
      </c>
      <c r="B44" s="34"/>
      <c r="C44" s="34"/>
      <c r="D44" s="34"/>
      <c r="E44" s="34"/>
      <c r="F44" s="34"/>
      <c r="G44" s="29">
        <v>950</v>
      </c>
    </row>
    <row r="45" spans="1:7" ht="15.75">
      <c r="A45" s="34" t="s">
        <v>58</v>
      </c>
      <c r="B45" s="34"/>
      <c r="C45" s="34"/>
      <c r="D45" s="34"/>
      <c r="E45" s="34"/>
      <c r="F45" s="34"/>
      <c r="G45" s="29">
        <v>1127</v>
      </c>
    </row>
    <row r="46" spans="1:7" ht="15.75">
      <c r="A46" s="34" t="s">
        <v>59</v>
      </c>
      <c r="B46" s="34"/>
      <c r="C46" s="34"/>
      <c r="D46" s="34"/>
      <c r="E46" s="34"/>
      <c r="F46" s="34"/>
      <c r="G46" s="29">
        <v>7140</v>
      </c>
    </row>
    <row r="47" spans="1:7" ht="15.75" hidden="1">
      <c r="A47" s="34" t="s">
        <v>60</v>
      </c>
      <c r="B47" s="34"/>
      <c r="C47" s="34"/>
      <c r="D47" s="34"/>
      <c r="E47" s="34"/>
      <c r="F47" s="34"/>
      <c r="G47" s="29"/>
    </row>
    <row r="48" spans="1:7" ht="15.75" hidden="1">
      <c r="A48" s="34" t="s">
        <v>61</v>
      </c>
      <c r="B48" s="34"/>
      <c r="C48" s="34"/>
      <c r="D48" s="34"/>
      <c r="E48" s="34"/>
      <c r="F48" s="34"/>
      <c r="G48" s="29"/>
    </row>
    <row r="49" spans="1:7" ht="15.75">
      <c r="A49" s="34" t="s">
        <v>62</v>
      </c>
      <c r="B49" s="34"/>
      <c r="C49" s="34"/>
      <c r="D49" s="34"/>
      <c r="E49" s="34"/>
      <c r="F49" s="34"/>
      <c r="G49" s="29">
        <v>102080</v>
      </c>
    </row>
    <row r="50" spans="1:7" ht="15.75">
      <c r="A50" s="34" t="s">
        <v>63</v>
      </c>
      <c r="B50" s="34"/>
      <c r="C50" s="34"/>
      <c r="D50" s="34"/>
      <c r="E50" s="34"/>
      <c r="F50" s="34"/>
      <c r="G50" s="29">
        <v>23120</v>
      </c>
    </row>
    <row r="51" spans="1:7" ht="15.75" hidden="1">
      <c r="A51" s="34" t="s">
        <v>64</v>
      </c>
      <c r="B51" s="34"/>
      <c r="C51" s="34"/>
      <c r="D51" s="34"/>
      <c r="E51" s="34"/>
      <c r="F51" s="34"/>
      <c r="G51" s="29"/>
    </row>
    <row r="52" spans="1:7" ht="15.75" hidden="1">
      <c r="A52" s="34" t="s">
        <v>65</v>
      </c>
      <c r="B52" s="34"/>
      <c r="C52" s="34"/>
      <c r="D52" s="34"/>
      <c r="E52" s="34"/>
      <c r="F52" s="34"/>
      <c r="G52" s="29"/>
    </row>
    <row r="53" spans="1:7" ht="18.75" customHeight="1">
      <c r="A53" s="33" t="s">
        <v>66</v>
      </c>
      <c r="B53" s="33"/>
      <c r="C53" s="33"/>
      <c r="D53" s="33"/>
      <c r="E53" s="33"/>
      <c r="F53" s="33"/>
      <c r="G53" s="32">
        <f>G39+G40+G41+G42+G43+G44+G45+G46+G47+G48+G49+G50+G51+G52</f>
        <v>134417</v>
      </c>
    </row>
    <row r="54" spans="1:7" ht="21" customHeight="1">
      <c r="A54" s="33" t="s">
        <v>67</v>
      </c>
      <c r="B54" s="33"/>
      <c r="C54" s="33"/>
      <c r="D54" s="33"/>
      <c r="E54" s="33"/>
      <c r="F54" s="33"/>
      <c r="G54" s="32">
        <f>G35+G53</f>
        <v>580345.2149446975</v>
      </c>
    </row>
    <row r="55" spans="1:7" ht="15.75" hidden="1">
      <c r="A55" s="28" t="s">
        <v>68</v>
      </c>
      <c r="B55" s="28"/>
      <c r="C55" s="28"/>
      <c r="D55" s="28"/>
      <c r="E55" s="28"/>
      <c r="F55" s="28"/>
      <c r="G55" s="29">
        <v>0</v>
      </c>
    </row>
    <row r="56" spans="1:7" ht="15.75">
      <c r="A56" s="41" t="s">
        <v>69</v>
      </c>
      <c r="B56" s="41"/>
      <c r="C56" s="41"/>
      <c r="D56" s="41"/>
      <c r="E56" s="41"/>
      <c r="F56" s="41"/>
      <c r="G56" s="29">
        <f>2*281.58*4+141.6*4+2*141.6*4+180*4</f>
        <v>4671.84</v>
      </c>
    </row>
    <row r="57" spans="1:7" ht="15.75" customHeight="1">
      <c r="A57" s="42" t="s">
        <v>70</v>
      </c>
      <c r="B57" s="42"/>
      <c r="C57" s="42"/>
      <c r="D57" s="42"/>
      <c r="E57" s="42"/>
      <c r="F57" s="42"/>
      <c r="G57" s="32">
        <f>B3*B5*4+G56</f>
        <v>576341.3439999999</v>
      </c>
    </row>
    <row r="58" spans="1:7" ht="15.75" customHeight="1">
      <c r="A58" s="43" t="s">
        <v>71</v>
      </c>
      <c r="B58" s="43"/>
      <c r="C58" s="43"/>
      <c r="D58" s="43"/>
      <c r="E58" s="43"/>
      <c r="F58" s="43"/>
      <c r="G58" s="44">
        <v>21036.73</v>
      </c>
    </row>
    <row r="59" spans="1:7" ht="63" customHeight="1">
      <c r="A59" s="33" t="s">
        <v>80</v>
      </c>
      <c r="B59" s="33"/>
      <c r="C59" s="33"/>
      <c r="D59" s="33"/>
      <c r="E59" s="33"/>
      <c r="F59" s="33"/>
      <c r="G59" s="32">
        <f>G54-G57+G58-G55</f>
        <v>25040.600944697526</v>
      </c>
    </row>
  </sheetData>
  <sheetProtection selectLockedCells="1" selectUnlockedCells="1"/>
  <mergeCells count="48">
    <mergeCell ref="A1:G1"/>
    <mergeCell ref="B2:E2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0"/>
  </sheetPr>
  <dimension ref="A1:G59"/>
  <sheetViews>
    <sheetView zoomScale="75" zoomScaleNormal="75" workbookViewId="0" topLeftCell="A30">
      <pane ySplit="65535" topLeftCell="A30" activePane="topLeft" state="split"/>
      <selection pane="topLeft" activeCell="G58" activeCellId="1" sqref="A77:G138 G58"/>
      <selection pane="bottomLeft" activeCell="A30" sqref="A30"/>
    </sheetView>
  </sheetViews>
  <sheetFormatPr defaultColWidth="9.140625" defaultRowHeight="12.75"/>
  <cols>
    <col min="1" max="1" width="23.8515625" style="1" customWidth="1"/>
    <col min="2" max="2" width="11.57421875" style="1" customWidth="1"/>
    <col min="3" max="5" width="9.140625" style="1" customWidth="1"/>
    <col min="6" max="6" width="21.421875" style="1" customWidth="1"/>
    <col min="7" max="7" width="15.421875" style="1" customWidth="1"/>
    <col min="8" max="16384" width="9.140625" style="1" customWidth="1"/>
  </cols>
  <sheetData>
    <row r="1" spans="1:7" ht="39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97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4</v>
      </c>
      <c r="B3" s="10">
        <v>6509.7</v>
      </c>
      <c r="F3" s="8" t="s">
        <v>5</v>
      </c>
      <c r="G3" s="11">
        <v>8</v>
      </c>
    </row>
    <row r="4" spans="1:7" ht="18.75">
      <c r="A4" s="12" t="s">
        <v>6</v>
      </c>
      <c r="B4" s="13"/>
      <c r="F4" s="8" t="s">
        <v>8</v>
      </c>
      <c r="G4" s="9">
        <v>1975</v>
      </c>
    </row>
    <row r="5" spans="1:3" ht="16.5" customHeight="1">
      <c r="A5" s="12" t="s">
        <v>6</v>
      </c>
      <c r="B5" s="13">
        <v>11.3</v>
      </c>
      <c r="C5" s="1" t="s">
        <v>9</v>
      </c>
    </row>
    <row r="6" spans="1:7" ht="18.75" hidden="1">
      <c r="A6" s="14" t="s">
        <v>10</v>
      </c>
      <c r="B6" s="15">
        <v>549</v>
      </c>
      <c r="C6" s="16"/>
      <c r="D6" s="16"/>
      <c r="E6" s="16"/>
      <c r="F6" s="16"/>
      <c r="G6" s="16"/>
    </row>
    <row r="7" spans="1:7" ht="18.75" hidden="1">
      <c r="A7" s="14" t="s">
        <v>12</v>
      </c>
      <c r="B7" s="17">
        <v>0</v>
      </c>
      <c r="C7" s="16"/>
      <c r="D7" s="16"/>
      <c r="E7" s="16"/>
      <c r="F7" s="16"/>
      <c r="G7" s="16"/>
    </row>
    <row r="8" spans="1:7" ht="38.25" customHeight="1" hidden="1">
      <c r="A8" s="18" t="s">
        <v>13</v>
      </c>
      <c r="B8" s="19" t="s">
        <v>14</v>
      </c>
      <c r="C8" s="19" t="s">
        <v>15</v>
      </c>
      <c r="D8" s="19" t="s">
        <v>16</v>
      </c>
      <c r="E8" s="19" t="s">
        <v>17</v>
      </c>
      <c r="F8" s="16"/>
      <c r="G8" s="16"/>
    </row>
    <row r="9" spans="1:7" ht="20.25" customHeight="1" hidden="1">
      <c r="A9" s="14"/>
      <c r="B9" s="17">
        <v>1362</v>
      </c>
      <c r="C9" s="17">
        <v>1902</v>
      </c>
      <c r="D9" s="17">
        <v>1362</v>
      </c>
      <c r="E9" s="17">
        <v>1902</v>
      </c>
      <c r="F9" s="16"/>
      <c r="G9" s="16"/>
    </row>
    <row r="10" spans="1:7" ht="18.75" hidden="1">
      <c r="A10" s="14" t="s">
        <v>18</v>
      </c>
      <c r="B10" s="20">
        <v>0</v>
      </c>
      <c r="C10" s="16"/>
      <c r="D10" s="16"/>
      <c r="E10" s="16"/>
      <c r="F10" s="16"/>
      <c r="G10" s="16"/>
    </row>
    <row r="11" spans="1:7" ht="19.5" hidden="1">
      <c r="A11" s="14" t="s">
        <v>19</v>
      </c>
      <c r="B11" s="20">
        <v>1454</v>
      </c>
      <c r="C11" s="20">
        <v>1146.6</v>
      </c>
      <c r="D11" s="20">
        <f>B11+C11</f>
        <v>2600.6</v>
      </c>
      <c r="E11" s="16"/>
      <c r="F11" s="16"/>
      <c r="G11" s="16"/>
    </row>
    <row r="12" spans="1:7" ht="50.25" customHeight="1" hidden="1">
      <c r="A12" s="14" t="s">
        <v>20</v>
      </c>
      <c r="B12" s="19" t="s">
        <v>21</v>
      </c>
      <c r="C12" s="21" t="s">
        <v>22</v>
      </c>
      <c r="D12" s="19" t="s">
        <v>23</v>
      </c>
      <c r="E12" s="22" t="s">
        <v>24</v>
      </c>
      <c r="F12" s="17" t="s">
        <v>25</v>
      </c>
      <c r="G12" s="16"/>
    </row>
    <row r="13" spans="1:7" ht="23.25" customHeight="1" hidden="1">
      <c r="A13" s="23"/>
      <c r="B13" s="24">
        <v>119</v>
      </c>
      <c r="C13" s="24">
        <v>119</v>
      </c>
      <c r="D13" s="24"/>
      <c r="E13" s="25">
        <f>D13+C13+B13</f>
        <v>238</v>
      </c>
      <c r="F13" s="17"/>
      <c r="G13" s="16"/>
    </row>
    <row r="14" spans="1:7" ht="18.75" customHeight="1">
      <c r="A14" s="26" t="s">
        <v>26</v>
      </c>
      <c r="B14" s="26"/>
      <c r="C14" s="26"/>
      <c r="D14" s="26"/>
      <c r="E14" s="26"/>
      <c r="F14" s="26"/>
      <c r="G14" s="27" t="s">
        <v>27</v>
      </c>
    </row>
    <row r="15" spans="1:7" ht="15.75">
      <c r="A15" s="28" t="s">
        <v>28</v>
      </c>
      <c r="B15" s="28"/>
      <c r="C15" s="28"/>
      <c r="D15" s="28"/>
      <c r="E15" s="28"/>
      <c r="F15" s="28"/>
      <c r="G15" s="29">
        <f>B6*8.689*4</f>
        <v>19081.044</v>
      </c>
    </row>
    <row r="16" spans="1:7" ht="15.75" hidden="1">
      <c r="A16" s="28" t="s">
        <v>29</v>
      </c>
      <c r="B16" s="28"/>
      <c r="C16" s="28"/>
      <c r="D16" s="28"/>
      <c r="E16" s="28"/>
      <c r="F16" s="28"/>
      <c r="G16" s="29">
        <f>B7*19.03*12</f>
        <v>0</v>
      </c>
    </row>
    <row r="17" spans="1:7" ht="15.75" hidden="1">
      <c r="A17" s="28" t="s">
        <v>30</v>
      </c>
      <c r="B17" s="28"/>
      <c r="C17" s="28"/>
      <c r="D17" s="28"/>
      <c r="E17" s="28"/>
      <c r="F17" s="28"/>
      <c r="G17" s="29">
        <f>B10*0.4523*12</f>
        <v>0</v>
      </c>
    </row>
    <row r="18" spans="1:7" ht="15.75">
      <c r="A18" s="28" t="s">
        <v>31</v>
      </c>
      <c r="B18" s="28"/>
      <c r="C18" s="28"/>
      <c r="D18" s="28"/>
      <c r="E18" s="28"/>
      <c r="F18" s="28"/>
      <c r="G18" s="29">
        <f>(B9*12.84/100*64)+(C9*9.63/100*38)+(D9*32.11/100*26)+(E9*2.41/100*5)</f>
        <v>29752.5342</v>
      </c>
    </row>
    <row r="19" spans="1:7" ht="15.75" customHeight="1">
      <c r="A19" s="30" t="s">
        <v>32</v>
      </c>
      <c r="B19" s="30"/>
      <c r="C19" s="30"/>
      <c r="D19" s="30"/>
      <c r="E19" s="30"/>
      <c r="F19" s="30"/>
      <c r="G19" s="31">
        <f>574906.73/199064.79*B3</f>
        <v>18800.262669661468</v>
      </c>
    </row>
    <row r="20" spans="1:7" ht="15.75">
      <c r="A20" s="28" t="s">
        <v>33</v>
      </c>
      <c r="B20" s="28"/>
      <c r="C20" s="28"/>
      <c r="D20" s="28"/>
      <c r="E20" s="28"/>
      <c r="F20" s="28"/>
      <c r="G20" s="29">
        <f>D11*0.14*2</f>
        <v>728.168</v>
      </c>
    </row>
    <row r="21" spans="1:7" ht="15.75" hidden="1">
      <c r="A21" s="28" t="s">
        <v>34</v>
      </c>
      <c r="B21" s="28"/>
      <c r="C21" s="28"/>
      <c r="D21" s="28"/>
      <c r="E21" s="28"/>
      <c r="F21" s="28"/>
      <c r="G21" s="29">
        <v>0</v>
      </c>
    </row>
    <row r="22" spans="1:7" ht="15.75">
      <c r="A22" s="28" t="s">
        <v>35</v>
      </c>
      <c r="B22" s="28"/>
      <c r="C22" s="28"/>
      <c r="D22" s="28"/>
      <c r="E22" s="28"/>
      <c r="F22" s="28"/>
      <c r="G22" s="29">
        <f>B3*0.845*4</f>
        <v>22002.786</v>
      </c>
    </row>
    <row r="23" spans="1:7" ht="15.75" hidden="1">
      <c r="A23" s="28" t="s">
        <v>36</v>
      </c>
      <c r="B23" s="28"/>
      <c r="C23" s="28"/>
      <c r="D23" s="28"/>
      <c r="E23" s="28"/>
      <c r="F23" s="28"/>
      <c r="G23" s="29">
        <v>0</v>
      </c>
    </row>
    <row r="24" spans="1:7" ht="15.75" hidden="1">
      <c r="A24" s="28" t="s">
        <v>37</v>
      </c>
      <c r="B24" s="28"/>
      <c r="C24" s="28"/>
      <c r="D24" s="28"/>
      <c r="E24" s="28"/>
      <c r="F24" s="28"/>
      <c r="G24" s="29">
        <v>0</v>
      </c>
    </row>
    <row r="25" spans="1:7" ht="15.75" hidden="1">
      <c r="A25" s="28" t="s">
        <v>38</v>
      </c>
      <c r="B25" s="28"/>
      <c r="C25" s="28"/>
      <c r="D25" s="28"/>
      <c r="E25" s="28"/>
      <c r="F25" s="28"/>
      <c r="G25" s="29">
        <v>0</v>
      </c>
    </row>
    <row r="26" spans="1:7" ht="15.75">
      <c r="A26" s="28" t="s">
        <v>39</v>
      </c>
      <c r="B26" s="28"/>
      <c r="C26" s="28"/>
      <c r="D26" s="28"/>
      <c r="E26" s="28"/>
      <c r="F26" s="28"/>
      <c r="G26" s="29">
        <f>7*352+4*251.46</f>
        <v>3469.84</v>
      </c>
    </row>
    <row r="27" spans="1:7" ht="15.75" hidden="1">
      <c r="A27" s="28" t="s">
        <v>40</v>
      </c>
      <c r="B27" s="28"/>
      <c r="C27" s="28"/>
      <c r="D27" s="28"/>
      <c r="E27" s="28"/>
      <c r="F27" s="28"/>
      <c r="G27" s="29">
        <v>0</v>
      </c>
    </row>
    <row r="28" spans="1:7" ht="15.75" hidden="1">
      <c r="A28" s="28" t="s">
        <v>41</v>
      </c>
      <c r="B28" s="28"/>
      <c r="C28" s="28"/>
      <c r="D28" s="28"/>
      <c r="E28" s="28"/>
      <c r="F28" s="28"/>
      <c r="G28" s="29">
        <v>0</v>
      </c>
    </row>
    <row r="29" spans="1:7" ht="15.75" hidden="1">
      <c r="A29" s="28" t="s">
        <v>42</v>
      </c>
      <c r="B29" s="28"/>
      <c r="C29" s="28"/>
      <c r="D29" s="28"/>
      <c r="E29" s="28"/>
      <c r="F29" s="28"/>
      <c r="G29" s="29">
        <v>0</v>
      </c>
    </row>
    <row r="30" spans="1:7" ht="15.75">
      <c r="A30" s="28" t="s">
        <v>43</v>
      </c>
      <c r="B30" s="28"/>
      <c r="C30" s="28"/>
      <c r="D30" s="28"/>
      <c r="E30" s="28"/>
      <c r="F30" s="28"/>
      <c r="G30" s="29">
        <f>B3*1.75*4</f>
        <v>45567.9</v>
      </c>
    </row>
    <row r="31" spans="1:7" ht="15.75" customHeight="1">
      <c r="A31" s="30" t="s">
        <v>44</v>
      </c>
      <c r="B31" s="30"/>
      <c r="C31" s="30"/>
      <c r="D31" s="30"/>
      <c r="E31" s="30"/>
      <c r="F31" s="30"/>
      <c r="G31" s="29">
        <f>(F13*4*8.57)+(B13*2*3.14)+(C13*1*3.14)+(D13*1*3.14)</f>
        <v>1120.98</v>
      </c>
    </row>
    <row r="32" spans="1:7" ht="15.75">
      <c r="A32" s="28" t="s">
        <v>45</v>
      </c>
      <c r="B32" s="28"/>
      <c r="C32" s="28"/>
      <c r="D32" s="28"/>
      <c r="E32" s="28"/>
      <c r="F32" s="28"/>
      <c r="G32" s="29">
        <f>B3*0.65*4</f>
        <v>16925.22</v>
      </c>
    </row>
    <row r="33" spans="1:7" ht="15.75">
      <c r="A33" s="28" t="s">
        <v>46</v>
      </c>
      <c r="B33" s="28"/>
      <c r="C33" s="28"/>
      <c r="D33" s="28"/>
      <c r="E33" s="28"/>
      <c r="F33" s="28"/>
      <c r="G33" s="29">
        <f>B3*0.2*4</f>
        <v>5207.76</v>
      </c>
    </row>
    <row r="34" spans="1:7" ht="15.75">
      <c r="A34" s="28" t="s">
        <v>47</v>
      </c>
      <c r="B34" s="28"/>
      <c r="C34" s="28"/>
      <c r="D34" s="28"/>
      <c r="E34" s="28"/>
      <c r="F34" s="28"/>
      <c r="G34" s="29">
        <f>B3*0.7*4</f>
        <v>18227.16</v>
      </c>
    </row>
    <row r="35" spans="1:7" ht="15.75">
      <c r="A35" s="26" t="s">
        <v>48</v>
      </c>
      <c r="B35" s="26"/>
      <c r="C35" s="26"/>
      <c r="D35" s="26"/>
      <c r="E35" s="26"/>
      <c r="F35" s="26"/>
      <c r="G35" s="32">
        <f>G15+G16+G17+G18+G19+G20+G21+G22+G23+G24+G26+G30+G31+G32+G33+G34+G27+G28+G29+G25</f>
        <v>180883.6548696615</v>
      </c>
    </row>
    <row r="36" spans="1:7" ht="20.25" customHeight="1">
      <c r="A36" s="33" t="s">
        <v>49</v>
      </c>
      <c r="B36" s="33"/>
      <c r="C36" s="33"/>
      <c r="D36" s="33"/>
      <c r="E36" s="33"/>
      <c r="F36" s="33"/>
      <c r="G36" s="29"/>
    </row>
    <row r="37" spans="1:7" ht="15.75" hidden="1">
      <c r="A37" s="28" t="s">
        <v>50</v>
      </c>
      <c r="B37" s="28"/>
      <c r="C37" s="28"/>
      <c r="D37" s="28"/>
      <c r="E37" s="28"/>
      <c r="F37" s="28"/>
      <c r="G37" s="29"/>
    </row>
    <row r="38" spans="1:7" ht="15.75">
      <c r="A38" s="28" t="s">
        <v>51</v>
      </c>
      <c r="B38" s="28"/>
      <c r="C38" s="28"/>
      <c r="D38" s="28"/>
      <c r="E38" s="28"/>
      <c r="F38" s="28"/>
      <c r="G38" s="29"/>
    </row>
    <row r="39" spans="1:7" ht="15.75" hidden="1">
      <c r="A39" s="34" t="s">
        <v>52</v>
      </c>
      <c r="B39" s="34"/>
      <c r="C39" s="34"/>
      <c r="D39" s="34"/>
      <c r="E39" s="34"/>
      <c r="F39" s="34"/>
      <c r="G39" s="29"/>
    </row>
    <row r="40" spans="1:7" ht="15.75" hidden="1">
      <c r="A40" s="34" t="s">
        <v>53</v>
      </c>
      <c r="B40" s="34"/>
      <c r="C40" s="34"/>
      <c r="D40" s="34"/>
      <c r="E40" s="34"/>
      <c r="F40" s="34"/>
      <c r="G40" s="29"/>
    </row>
    <row r="41" spans="1:7" ht="15.75" hidden="1">
      <c r="A41" s="34" t="s">
        <v>54</v>
      </c>
      <c r="B41" s="34"/>
      <c r="C41" s="34"/>
      <c r="D41" s="34"/>
      <c r="E41" s="34"/>
      <c r="F41" s="34"/>
      <c r="G41" s="29"/>
    </row>
    <row r="42" spans="1:7" ht="15.75" hidden="1">
      <c r="A42" s="34" t="s">
        <v>55</v>
      </c>
      <c r="B42" s="34"/>
      <c r="C42" s="34"/>
      <c r="D42" s="34"/>
      <c r="E42" s="34"/>
      <c r="F42" s="34"/>
      <c r="G42" s="29"/>
    </row>
    <row r="43" spans="1:7" ht="15.75" hidden="1">
      <c r="A43" s="34" t="s">
        <v>56</v>
      </c>
      <c r="B43" s="34"/>
      <c r="C43" s="34"/>
      <c r="D43" s="34"/>
      <c r="E43" s="34"/>
      <c r="F43" s="34"/>
      <c r="G43" s="29"/>
    </row>
    <row r="44" spans="1:7" ht="15.75" hidden="1">
      <c r="A44" s="34" t="s">
        <v>57</v>
      </c>
      <c r="B44" s="34"/>
      <c r="C44" s="34"/>
      <c r="D44" s="34"/>
      <c r="E44" s="34"/>
      <c r="F44" s="34"/>
      <c r="G44" s="29"/>
    </row>
    <row r="45" spans="1:7" ht="15.75">
      <c r="A45" s="34" t="s">
        <v>58</v>
      </c>
      <c r="B45" s="34"/>
      <c r="C45" s="34"/>
      <c r="D45" s="34"/>
      <c r="E45" s="34"/>
      <c r="F45" s="34"/>
      <c r="G45" s="29">
        <v>168</v>
      </c>
    </row>
    <row r="46" spans="1:7" ht="15.75">
      <c r="A46" s="34" t="s">
        <v>59</v>
      </c>
      <c r="B46" s="34"/>
      <c r="C46" s="34"/>
      <c r="D46" s="34"/>
      <c r="E46" s="34"/>
      <c r="F46" s="34"/>
      <c r="G46" s="29">
        <v>1370</v>
      </c>
    </row>
    <row r="47" spans="1:7" ht="15.75" hidden="1">
      <c r="A47" s="34" t="s">
        <v>60</v>
      </c>
      <c r="B47" s="34"/>
      <c r="C47" s="34"/>
      <c r="D47" s="34"/>
      <c r="E47" s="34"/>
      <c r="F47" s="34"/>
      <c r="G47" s="29"/>
    </row>
    <row r="48" spans="1:7" ht="15.75" hidden="1">
      <c r="A48" s="34" t="s">
        <v>61</v>
      </c>
      <c r="B48" s="34"/>
      <c r="C48" s="34"/>
      <c r="D48" s="34"/>
      <c r="E48" s="34"/>
      <c r="F48" s="34"/>
      <c r="G48" s="29"/>
    </row>
    <row r="49" spans="1:7" ht="15.75">
      <c r="A49" s="34" t="s">
        <v>62</v>
      </c>
      <c r="B49" s="34"/>
      <c r="C49" s="34"/>
      <c r="D49" s="34"/>
      <c r="E49" s="34"/>
      <c r="F49" s="34"/>
      <c r="G49" s="29">
        <v>132830</v>
      </c>
    </row>
    <row r="50" spans="1:7" ht="15.75">
      <c r="A50" s="34" t="s">
        <v>63</v>
      </c>
      <c r="B50" s="34"/>
      <c r="C50" s="34"/>
      <c r="D50" s="34"/>
      <c r="E50" s="34"/>
      <c r="F50" s="34"/>
      <c r="G50" s="29">
        <v>18750</v>
      </c>
    </row>
    <row r="51" spans="1:7" ht="15.75" hidden="1">
      <c r="A51" s="34" t="s">
        <v>64</v>
      </c>
      <c r="B51" s="34"/>
      <c r="C51" s="34"/>
      <c r="D51" s="34"/>
      <c r="E51" s="34"/>
      <c r="F51" s="34"/>
      <c r="G51" s="29"/>
    </row>
    <row r="52" spans="1:7" ht="15.75" hidden="1">
      <c r="A52" s="34" t="s">
        <v>65</v>
      </c>
      <c r="B52" s="34"/>
      <c r="C52" s="34"/>
      <c r="D52" s="34"/>
      <c r="E52" s="34"/>
      <c r="F52" s="34"/>
      <c r="G52" s="29"/>
    </row>
    <row r="53" spans="1:7" ht="15.75" customHeight="1">
      <c r="A53" s="33" t="s">
        <v>66</v>
      </c>
      <c r="B53" s="33"/>
      <c r="C53" s="33"/>
      <c r="D53" s="33"/>
      <c r="E53" s="33"/>
      <c r="F53" s="33"/>
      <c r="G53" s="32">
        <f>G39+G40+G41+G42+G43+G44+G45+G46+G47+G48+G49+G50+G51+G52</f>
        <v>153118</v>
      </c>
    </row>
    <row r="54" spans="1:7" ht="15.75" customHeight="1">
      <c r="A54" s="33" t="s">
        <v>67</v>
      </c>
      <c r="B54" s="33"/>
      <c r="C54" s="33"/>
      <c r="D54" s="33"/>
      <c r="E54" s="33"/>
      <c r="F54" s="33"/>
      <c r="G54" s="32">
        <f>G35+G53</f>
        <v>334001.6548696615</v>
      </c>
    </row>
    <row r="55" spans="1:7" ht="15.75" hidden="1">
      <c r="A55" s="28" t="s">
        <v>68</v>
      </c>
      <c r="B55" s="28"/>
      <c r="C55" s="28"/>
      <c r="D55" s="28"/>
      <c r="E55" s="28"/>
      <c r="F55" s="28"/>
      <c r="G55" s="29">
        <v>0</v>
      </c>
    </row>
    <row r="56" spans="1:7" ht="15.75">
      <c r="A56" s="41" t="s">
        <v>69</v>
      </c>
      <c r="B56" s="41"/>
      <c r="C56" s="41"/>
      <c r="D56" s="41"/>
      <c r="E56" s="41"/>
      <c r="F56" s="41"/>
      <c r="G56" s="29">
        <f>2*281.58*4+141.6*4+141.6*4+180*4</f>
        <v>4105.4400000000005</v>
      </c>
    </row>
    <row r="57" spans="1:7" ht="15.75" customHeight="1">
      <c r="A57" s="42" t="s">
        <v>70</v>
      </c>
      <c r="B57" s="42"/>
      <c r="C57" s="42"/>
      <c r="D57" s="42"/>
      <c r="E57" s="42"/>
      <c r="F57" s="42"/>
      <c r="G57" s="32">
        <f>B3*B5*4+G56</f>
        <v>298343.88</v>
      </c>
    </row>
    <row r="58" spans="1:7" ht="15.75" customHeight="1">
      <c r="A58" s="43" t="s">
        <v>71</v>
      </c>
      <c r="B58" s="43"/>
      <c r="C58" s="43"/>
      <c r="D58" s="43"/>
      <c r="E58" s="43"/>
      <c r="F58" s="43"/>
      <c r="G58" s="44">
        <v>33036.97</v>
      </c>
    </row>
    <row r="59" spans="1:7" ht="68.25" customHeight="1">
      <c r="A59" s="33" t="s">
        <v>82</v>
      </c>
      <c r="B59" s="33"/>
      <c r="C59" s="33"/>
      <c r="D59" s="33"/>
      <c r="E59" s="33"/>
      <c r="F59" s="33"/>
      <c r="G59" s="32">
        <f>G54-G57-G55+G58</f>
        <v>68694.74486966149</v>
      </c>
    </row>
  </sheetData>
  <sheetProtection selectLockedCells="1" selectUnlockedCells="1"/>
  <mergeCells count="48">
    <mergeCell ref="A1:G1"/>
    <mergeCell ref="B2:E2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0"/>
  </sheetPr>
  <dimension ref="A1:G59"/>
  <sheetViews>
    <sheetView zoomScale="75" zoomScaleNormal="75" workbookViewId="0" topLeftCell="A30">
      <pane ySplit="65535" topLeftCell="A30" activePane="topLeft" state="split"/>
      <selection pane="topLeft" activeCell="G58" activeCellId="1" sqref="A77:G138 G58"/>
      <selection pane="bottomLeft" activeCell="A30" sqref="A30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4.57421875" style="1" customWidth="1"/>
    <col min="8" max="16384" width="9.140625" style="1" customWidth="1"/>
  </cols>
  <sheetData>
    <row r="1" spans="1:7" ht="40.5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73</v>
      </c>
      <c r="B2" s="7" t="s">
        <v>98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75</v>
      </c>
      <c r="B3" s="10">
        <v>4791.5</v>
      </c>
      <c r="F3" s="8" t="s">
        <v>5</v>
      </c>
      <c r="G3" s="11">
        <v>6</v>
      </c>
    </row>
    <row r="4" spans="1:7" ht="18.75">
      <c r="A4" s="12" t="s">
        <v>76</v>
      </c>
      <c r="B4" s="13"/>
      <c r="F4" s="8" t="s">
        <v>8</v>
      </c>
      <c r="G4" s="9">
        <v>1979</v>
      </c>
    </row>
    <row r="5" spans="1:3" ht="16.5" customHeight="1">
      <c r="A5" s="12" t="s">
        <v>76</v>
      </c>
      <c r="B5" s="13">
        <v>9.49</v>
      </c>
      <c r="C5" s="1" t="s">
        <v>9</v>
      </c>
    </row>
    <row r="6" spans="1:7" ht="18.75" hidden="1">
      <c r="A6" s="14" t="s">
        <v>10</v>
      </c>
      <c r="B6" s="15">
        <v>413.2</v>
      </c>
      <c r="C6" s="16"/>
      <c r="D6" s="16"/>
      <c r="E6" s="16"/>
      <c r="F6" s="16"/>
      <c r="G6" s="16"/>
    </row>
    <row r="7" spans="1:7" ht="18.75" hidden="1">
      <c r="A7" s="14" t="s">
        <v>12</v>
      </c>
      <c r="B7" s="17">
        <v>0</v>
      </c>
      <c r="C7" s="16"/>
      <c r="D7" s="16"/>
      <c r="E7" s="16"/>
      <c r="F7" s="16"/>
      <c r="G7" s="16"/>
    </row>
    <row r="8" spans="1:7" ht="38.25" customHeight="1" hidden="1">
      <c r="A8" s="18" t="s">
        <v>13</v>
      </c>
      <c r="B8" s="19" t="s">
        <v>14</v>
      </c>
      <c r="C8" s="19" t="s">
        <v>15</v>
      </c>
      <c r="D8" s="19" t="s">
        <v>16</v>
      </c>
      <c r="E8" s="19" t="s">
        <v>17</v>
      </c>
      <c r="F8" s="16"/>
      <c r="G8" s="16"/>
    </row>
    <row r="9" spans="1:7" ht="20.25" customHeight="1" hidden="1">
      <c r="A9" s="14"/>
      <c r="B9" s="17">
        <v>747</v>
      </c>
      <c r="C9" s="17">
        <v>3099</v>
      </c>
      <c r="D9" s="17">
        <v>691</v>
      </c>
      <c r="E9" s="17">
        <v>3065</v>
      </c>
      <c r="F9" s="16"/>
      <c r="G9" s="16"/>
    </row>
    <row r="10" spans="1:7" ht="18.75" hidden="1">
      <c r="A10" s="14" t="s">
        <v>18</v>
      </c>
      <c r="B10" s="20">
        <v>0</v>
      </c>
      <c r="C10" s="16"/>
      <c r="D10" s="16"/>
      <c r="E10" s="16"/>
      <c r="F10" s="16"/>
      <c r="G10" s="16"/>
    </row>
    <row r="11" spans="1:7" ht="19.5" hidden="1">
      <c r="A11" s="14" t="s">
        <v>19</v>
      </c>
      <c r="B11" s="20">
        <v>1105</v>
      </c>
      <c r="C11" s="20">
        <v>873.7</v>
      </c>
      <c r="D11" s="20">
        <f>B11+C11</f>
        <v>1978.7</v>
      </c>
      <c r="E11" s="16"/>
      <c r="F11" s="16"/>
      <c r="G11" s="16"/>
    </row>
    <row r="12" spans="1:7" ht="50.25" customHeight="1" hidden="1">
      <c r="A12" s="14" t="s">
        <v>20</v>
      </c>
      <c r="B12" s="19" t="s">
        <v>21</v>
      </c>
      <c r="C12" s="21" t="s">
        <v>22</v>
      </c>
      <c r="D12" s="19" t="s">
        <v>23</v>
      </c>
      <c r="E12" s="22" t="s">
        <v>24</v>
      </c>
      <c r="F12" s="17" t="s">
        <v>25</v>
      </c>
      <c r="G12" s="16"/>
    </row>
    <row r="13" spans="1:7" ht="23.25" customHeight="1" hidden="1">
      <c r="A13" s="23"/>
      <c r="B13" s="24">
        <v>90</v>
      </c>
      <c r="C13" s="24">
        <v>90</v>
      </c>
      <c r="D13" s="24"/>
      <c r="E13" s="25">
        <f>D13+C13+B13</f>
        <v>180</v>
      </c>
      <c r="F13" s="17"/>
      <c r="G13" s="16"/>
    </row>
    <row r="14" spans="1:7" ht="18.75" customHeight="1">
      <c r="A14" s="26" t="s">
        <v>26</v>
      </c>
      <c r="B14" s="26"/>
      <c r="C14" s="26"/>
      <c r="D14" s="26"/>
      <c r="E14" s="26"/>
      <c r="F14" s="26"/>
      <c r="G14" s="27" t="s">
        <v>27</v>
      </c>
    </row>
    <row r="15" spans="1:7" ht="15.75">
      <c r="A15" s="28" t="s">
        <v>28</v>
      </c>
      <c r="B15" s="28"/>
      <c r="C15" s="28"/>
      <c r="D15" s="28"/>
      <c r="E15" s="28"/>
      <c r="F15" s="28"/>
      <c r="G15" s="29">
        <f>B6*7.012*4</f>
        <v>11589.433599999998</v>
      </c>
    </row>
    <row r="16" spans="1:7" ht="15.75" hidden="1">
      <c r="A16" s="28" t="s">
        <v>29</v>
      </c>
      <c r="B16" s="28"/>
      <c r="C16" s="28"/>
      <c r="D16" s="28"/>
      <c r="E16" s="28"/>
      <c r="F16" s="28"/>
      <c r="G16" s="29">
        <f>B7*35.705*12</f>
        <v>0</v>
      </c>
    </row>
    <row r="17" spans="1:7" ht="15.75" hidden="1">
      <c r="A17" s="28" t="s">
        <v>30</v>
      </c>
      <c r="B17" s="28"/>
      <c r="C17" s="28"/>
      <c r="D17" s="28"/>
      <c r="E17" s="28"/>
      <c r="F17" s="28"/>
      <c r="G17" s="29">
        <f>B10*0.3613*12</f>
        <v>0</v>
      </c>
    </row>
    <row r="18" spans="1:7" ht="15.75">
      <c r="A18" s="28" t="s">
        <v>31</v>
      </c>
      <c r="B18" s="28"/>
      <c r="C18" s="28"/>
      <c r="D18" s="28"/>
      <c r="E18" s="28"/>
      <c r="F18" s="28"/>
      <c r="G18" s="29">
        <f>(B9*9.46/100*64)+(C9*7.09/100*38)+(D9*23.66/100*26)+(E9*1.77/100*5)</f>
        <v>17393.9707</v>
      </c>
    </row>
    <row r="19" spans="1:7" ht="15.75" customHeight="1">
      <c r="A19" s="30" t="s">
        <v>32</v>
      </c>
      <c r="B19" s="30"/>
      <c r="C19" s="30"/>
      <c r="D19" s="30"/>
      <c r="E19" s="30"/>
      <c r="F19" s="30"/>
      <c r="G19" s="31">
        <f>574906.73/199064.79*B3</f>
        <v>13838.035329075523</v>
      </c>
    </row>
    <row r="20" spans="1:7" ht="15.75">
      <c r="A20" s="28" t="s">
        <v>33</v>
      </c>
      <c r="B20" s="28"/>
      <c r="C20" s="28"/>
      <c r="D20" s="28"/>
      <c r="E20" s="28"/>
      <c r="F20" s="28"/>
      <c r="G20" s="29">
        <f>D11*0.14*2</f>
        <v>554.0360000000001</v>
      </c>
    </row>
    <row r="21" spans="1:7" ht="15.75" hidden="1">
      <c r="A21" s="28" t="s">
        <v>34</v>
      </c>
      <c r="B21" s="28"/>
      <c r="C21" s="28"/>
      <c r="D21" s="28"/>
      <c r="E21" s="28"/>
      <c r="F21" s="28"/>
      <c r="G21" s="29">
        <v>0</v>
      </c>
    </row>
    <row r="22" spans="1:7" ht="15.75">
      <c r="A22" s="28" t="s">
        <v>35</v>
      </c>
      <c r="B22" s="28"/>
      <c r="C22" s="28"/>
      <c r="D22" s="28"/>
      <c r="E22" s="28"/>
      <c r="F22" s="28"/>
      <c r="G22" s="29">
        <f>B3*0.845*4</f>
        <v>16195.269999999999</v>
      </c>
    </row>
    <row r="23" spans="1:7" ht="15.75" hidden="1">
      <c r="A23" s="28" t="s">
        <v>36</v>
      </c>
      <c r="B23" s="28"/>
      <c r="C23" s="28"/>
      <c r="D23" s="28"/>
      <c r="E23" s="28"/>
      <c r="F23" s="28"/>
      <c r="G23" s="29">
        <v>0</v>
      </c>
    </row>
    <row r="24" spans="1:7" ht="15.75" hidden="1">
      <c r="A24" s="28" t="s">
        <v>37</v>
      </c>
      <c r="B24" s="28"/>
      <c r="C24" s="28"/>
      <c r="D24" s="28"/>
      <c r="E24" s="28"/>
      <c r="F24" s="28"/>
      <c r="G24" s="29">
        <v>0</v>
      </c>
    </row>
    <row r="25" spans="1:7" ht="15.75" hidden="1">
      <c r="A25" s="28" t="s">
        <v>38</v>
      </c>
      <c r="B25" s="28"/>
      <c r="C25" s="28"/>
      <c r="D25" s="28"/>
      <c r="E25" s="28"/>
      <c r="F25" s="28"/>
      <c r="G25" s="29">
        <v>0</v>
      </c>
    </row>
    <row r="26" spans="1:7" ht="15.75">
      <c r="A26" s="28" t="s">
        <v>39</v>
      </c>
      <c r="B26" s="28"/>
      <c r="C26" s="28"/>
      <c r="D26" s="28"/>
      <c r="E26" s="28"/>
      <c r="F26" s="28"/>
      <c r="G26" s="29">
        <f>2863.61</f>
        <v>2863.61</v>
      </c>
    </row>
    <row r="27" spans="1:7" ht="15.75" hidden="1">
      <c r="A27" s="28" t="s">
        <v>40</v>
      </c>
      <c r="B27" s="28"/>
      <c r="C27" s="28"/>
      <c r="D27" s="28"/>
      <c r="E27" s="28"/>
      <c r="F27" s="28"/>
      <c r="G27" s="29">
        <v>0</v>
      </c>
    </row>
    <row r="28" spans="1:7" ht="15.75" hidden="1">
      <c r="A28" s="28" t="s">
        <v>41</v>
      </c>
      <c r="B28" s="28"/>
      <c r="C28" s="28"/>
      <c r="D28" s="28"/>
      <c r="E28" s="28"/>
      <c r="F28" s="28"/>
      <c r="G28" s="29">
        <v>0</v>
      </c>
    </row>
    <row r="29" spans="1:7" ht="15.75" hidden="1">
      <c r="A29" s="28" t="s">
        <v>42</v>
      </c>
      <c r="B29" s="28"/>
      <c r="C29" s="28"/>
      <c r="D29" s="28"/>
      <c r="E29" s="28"/>
      <c r="F29" s="28"/>
      <c r="G29" s="29">
        <v>0</v>
      </c>
    </row>
    <row r="30" spans="1:7" ht="15.75">
      <c r="A30" s="28" t="s">
        <v>43</v>
      </c>
      <c r="B30" s="28"/>
      <c r="C30" s="28"/>
      <c r="D30" s="28"/>
      <c r="E30" s="28"/>
      <c r="F30" s="28"/>
      <c r="G30" s="29">
        <f>B3*1.75*4</f>
        <v>33540.5</v>
      </c>
    </row>
    <row r="31" spans="1:7" ht="15.75" customHeight="1">
      <c r="A31" s="30" t="s">
        <v>44</v>
      </c>
      <c r="B31" s="30"/>
      <c r="C31" s="30"/>
      <c r="D31" s="30"/>
      <c r="E31" s="30"/>
      <c r="F31" s="30"/>
      <c r="G31" s="29">
        <f>(F13*4*8.57)+(B13*2*3.14)+(C13*1*3.14)+(D13*1*3.14)</f>
        <v>847.8000000000001</v>
      </c>
    </row>
    <row r="32" spans="1:7" ht="15.75">
      <c r="A32" s="28" t="s">
        <v>45</v>
      </c>
      <c r="B32" s="28"/>
      <c r="C32" s="28"/>
      <c r="D32" s="28"/>
      <c r="E32" s="28"/>
      <c r="F32" s="28"/>
      <c r="G32" s="29">
        <f>B3*0.65*4</f>
        <v>12457.9</v>
      </c>
    </row>
    <row r="33" spans="1:7" ht="15.75">
      <c r="A33" s="28" t="s">
        <v>46</v>
      </c>
      <c r="B33" s="28"/>
      <c r="C33" s="28"/>
      <c r="D33" s="28"/>
      <c r="E33" s="28"/>
      <c r="F33" s="28"/>
      <c r="G33" s="29">
        <f>B3*0.2*4</f>
        <v>3833.2000000000003</v>
      </c>
    </row>
    <row r="34" spans="1:7" ht="15.75">
      <c r="A34" s="28" t="s">
        <v>47</v>
      </c>
      <c r="B34" s="28"/>
      <c r="C34" s="28"/>
      <c r="D34" s="28"/>
      <c r="E34" s="28"/>
      <c r="F34" s="28"/>
      <c r="G34" s="29">
        <f>B3*0.7*4</f>
        <v>13416.199999999999</v>
      </c>
    </row>
    <row r="35" spans="1:7" ht="15.75">
      <c r="A35" s="26" t="s">
        <v>48</v>
      </c>
      <c r="B35" s="26"/>
      <c r="C35" s="26"/>
      <c r="D35" s="26"/>
      <c r="E35" s="26"/>
      <c r="F35" s="26"/>
      <c r="G35" s="32">
        <f>G15+G16+G17+G18+G19+G20+G21+G22+G23+G24+G26+G30+G31+G32+G33+G34+G27+G28+G29+G25</f>
        <v>126529.95562907551</v>
      </c>
    </row>
    <row r="36" spans="1:7" ht="20.25" customHeight="1">
      <c r="A36" s="33" t="s">
        <v>49</v>
      </c>
      <c r="B36" s="33"/>
      <c r="C36" s="33"/>
      <c r="D36" s="33"/>
      <c r="E36" s="33"/>
      <c r="F36" s="33"/>
      <c r="G36" s="29"/>
    </row>
    <row r="37" spans="1:7" ht="15.75" hidden="1">
      <c r="A37" s="28" t="s">
        <v>50</v>
      </c>
      <c r="B37" s="28"/>
      <c r="C37" s="28"/>
      <c r="D37" s="28"/>
      <c r="E37" s="28"/>
      <c r="F37" s="28"/>
      <c r="G37" s="29"/>
    </row>
    <row r="38" spans="1:7" ht="15.75">
      <c r="A38" s="28" t="s">
        <v>51</v>
      </c>
      <c r="B38" s="28"/>
      <c r="C38" s="28"/>
      <c r="D38" s="28"/>
      <c r="E38" s="28"/>
      <c r="F38" s="28"/>
      <c r="G38" s="29"/>
    </row>
    <row r="39" spans="1:7" ht="15.75">
      <c r="A39" s="34" t="s">
        <v>52</v>
      </c>
      <c r="B39" s="34"/>
      <c r="C39" s="34"/>
      <c r="D39" s="34"/>
      <c r="E39" s="34"/>
      <c r="F39" s="34"/>
      <c r="G39" s="29">
        <v>6640</v>
      </c>
    </row>
    <row r="40" spans="1:7" ht="15.75">
      <c r="A40" s="34" t="s">
        <v>53</v>
      </c>
      <c r="B40" s="34"/>
      <c r="C40" s="34"/>
      <c r="D40" s="34"/>
      <c r="E40" s="34"/>
      <c r="F40" s="34"/>
      <c r="G40" s="29">
        <v>2050</v>
      </c>
    </row>
    <row r="41" spans="1:7" ht="15.75" hidden="1">
      <c r="A41" s="34" t="s">
        <v>54</v>
      </c>
      <c r="B41" s="34"/>
      <c r="C41" s="34"/>
      <c r="D41" s="34"/>
      <c r="E41" s="34"/>
      <c r="F41" s="34"/>
      <c r="G41" s="29"/>
    </row>
    <row r="42" spans="1:7" ht="15.75" hidden="1">
      <c r="A42" s="34" t="s">
        <v>55</v>
      </c>
      <c r="B42" s="34"/>
      <c r="C42" s="34"/>
      <c r="D42" s="34"/>
      <c r="E42" s="34"/>
      <c r="F42" s="34"/>
      <c r="G42" s="29"/>
    </row>
    <row r="43" spans="1:7" ht="15.75" hidden="1">
      <c r="A43" s="34" t="s">
        <v>56</v>
      </c>
      <c r="B43" s="34"/>
      <c r="C43" s="34"/>
      <c r="D43" s="34"/>
      <c r="E43" s="34"/>
      <c r="F43" s="34"/>
      <c r="G43" s="29"/>
    </row>
    <row r="44" spans="1:7" ht="15.75" hidden="1">
      <c r="A44" s="34" t="s">
        <v>57</v>
      </c>
      <c r="B44" s="34"/>
      <c r="C44" s="34"/>
      <c r="D44" s="34"/>
      <c r="E44" s="34"/>
      <c r="F44" s="34"/>
      <c r="G44" s="29"/>
    </row>
    <row r="45" spans="1:7" ht="15.75">
      <c r="A45" s="34" t="s">
        <v>58</v>
      </c>
      <c r="B45" s="34"/>
      <c r="C45" s="34"/>
      <c r="D45" s="34"/>
      <c r="E45" s="34"/>
      <c r="F45" s="34"/>
      <c r="G45" s="29">
        <v>958</v>
      </c>
    </row>
    <row r="46" spans="1:7" ht="15.75">
      <c r="A46" s="34" t="s">
        <v>59</v>
      </c>
      <c r="B46" s="34"/>
      <c r="C46" s="34"/>
      <c r="D46" s="34"/>
      <c r="E46" s="34"/>
      <c r="F46" s="34"/>
      <c r="G46" s="29">
        <v>2520</v>
      </c>
    </row>
    <row r="47" spans="1:7" ht="15.75" hidden="1">
      <c r="A47" s="34" t="s">
        <v>60</v>
      </c>
      <c r="B47" s="34"/>
      <c r="C47" s="34"/>
      <c r="D47" s="34"/>
      <c r="E47" s="34"/>
      <c r="F47" s="34"/>
      <c r="G47" s="29"/>
    </row>
    <row r="48" spans="1:7" ht="15.75" hidden="1">
      <c r="A48" s="34" t="s">
        <v>61</v>
      </c>
      <c r="B48" s="34"/>
      <c r="C48" s="34"/>
      <c r="D48" s="34"/>
      <c r="E48" s="34"/>
      <c r="F48" s="34"/>
      <c r="G48" s="29"/>
    </row>
    <row r="49" spans="1:7" ht="15.75">
      <c r="A49" s="34" t="s">
        <v>62</v>
      </c>
      <c r="B49" s="34"/>
      <c r="C49" s="34"/>
      <c r="D49" s="34"/>
      <c r="E49" s="34"/>
      <c r="F49" s="34"/>
      <c r="G49" s="29">
        <v>106390</v>
      </c>
    </row>
    <row r="50" spans="1:7" ht="15.75">
      <c r="A50" s="34" t="s">
        <v>63</v>
      </c>
      <c r="B50" s="34"/>
      <c r="C50" s="34"/>
      <c r="D50" s="34"/>
      <c r="E50" s="34"/>
      <c r="F50" s="34"/>
      <c r="G50" s="29">
        <v>15680</v>
      </c>
    </row>
    <row r="51" spans="1:7" ht="15.75" hidden="1">
      <c r="A51" s="34" t="s">
        <v>64</v>
      </c>
      <c r="B51" s="34"/>
      <c r="C51" s="34"/>
      <c r="D51" s="34"/>
      <c r="E51" s="34"/>
      <c r="F51" s="34"/>
      <c r="G51" s="29"/>
    </row>
    <row r="52" spans="1:7" ht="15.75" hidden="1">
      <c r="A52" s="34" t="s">
        <v>65</v>
      </c>
      <c r="B52" s="34"/>
      <c r="C52" s="34"/>
      <c r="D52" s="34"/>
      <c r="E52" s="34"/>
      <c r="F52" s="34"/>
      <c r="G52" s="29"/>
    </row>
    <row r="53" spans="1:7" ht="18.75" customHeight="1">
      <c r="A53" s="33" t="s">
        <v>66</v>
      </c>
      <c r="B53" s="33"/>
      <c r="C53" s="33"/>
      <c r="D53" s="33"/>
      <c r="E53" s="33"/>
      <c r="F53" s="33"/>
      <c r="G53" s="32">
        <f>G39+G40+G41+G42+G43+G44+G45+G46+G47+G48+G49+G50+G51+G52</f>
        <v>134238</v>
      </c>
    </row>
    <row r="54" spans="1:7" ht="21" customHeight="1">
      <c r="A54" s="33" t="s">
        <v>67</v>
      </c>
      <c r="B54" s="33"/>
      <c r="C54" s="33"/>
      <c r="D54" s="33"/>
      <c r="E54" s="33"/>
      <c r="F54" s="33"/>
      <c r="G54" s="32">
        <f>G35+G53</f>
        <v>260767.95562907553</v>
      </c>
    </row>
    <row r="55" spans="1:7" ht="15.75" hidden="1">
      <c r="A55" s="28" t="s">
        <v>68</v>
      </c>
      <c r="B55" s="28"/>
      <c r="C55" s="28"/>
      <c r="D55" s="28"/>
      <c r="E55" s="28"/>
      <c r="F55" s="28"/>
      <c r="G55" s="29">
        <v>0</v>
      </c>
    </row>
    <row r="56" spans="1:7" ht="15.75">
      <c r="A56" s="41" t="s">
        <v>69</v>
      </c>
      <c r="B56" s="41"/>
      <c r="C56" s="41"/>
      <c r="D56" s="41"/>
      <c r="E56" s="41"/>
      <c r="F56" s="41"/>
      <c r="G56" s="29">
        <f>281.58*4+141.6*4+141.6*4+180*4</f>
        <v>2979.12</v>
      </c>
    </row>
    <row r="57" spans="1:7" ht="15.75" customHeight="1">
      <c r="A57" s="42" t="s">
        <v>70</v>
      </c>
      <c r="B57" s="42"/>
      <c r="C57" s="42"/>
      <c r="D57" s="42"/>
      <c r="E57" s="42"/>
      <c r="F57" s="42"/>
      <c r="G57" s="32">
        <f>B3*B5*4+G56</f>
        <v>184864.46</v>
      </c>
    </row>
    <row r="58" spans="1:7" ht="15.75" customHeight="1">
      <c r="A58" s="43" t="s">
        <v>71</v>
      </c>
      <c r="B58" s="43"/>
      <c r="C58" s="43"/>
      <c r="D58" s="43"/>
      <c r="E58" s="43"/>
      <c r="F58" s="43"/>
      <c r="G58" s="44">
        <v>17512.19</v>
      </c>
    </row>
    <row r="59" spans="1:7" ht="64.5" customHeight="1">
      <c r="A59" s="33" t="s">
        <v>80</v>
      </c>
      <c r="B59" s="33"/>
      <c r="C59" s="33"/>
      <c r="D59" s="33"/>
      <c r="E59" s="33"/>
      <c r="F59" s="33"/>
      <c r="G59" s="32">
        <f>G54-G57+G58-G55</f>
        <v>93415.68562907554</v>
      </c>
    </row>
  </sheetData>
  <sheetProtection selectLockedCells="1" selectUnlockedCells="1"/>
  <mergeCells count="48">
    <mergeCell ref="A1:G1"/>
    <mergeCell ref="B2:E2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0"/>
  </sheetPr>
  <dimension ref="A1:G59"/>
  <sheetViews>
    <sheetView zoomScale="75" zoomScaleNormal="75" workbookViewId="0" topLeftCell="A17">
      <pane ySplit="65535" topLeftCell="A17" activePane="topLeft" state="split"/>
      <selection pane="topLeft" activeCell="G58" activeCellId="1" sqref="A77:G138 G58"/>
      <selection pane="bottomLeft" activeCell="A17" sqref="A17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4.57421875" style="1" customWidth="1"/>
    <col min="8" max="16384" width="9.140625" style="1" customWidth="1"/>
  </cols>
  <sheetData>
    <row r="1" spans="1:7" ht="40.5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73</v>
      </c>
      <c r="B2" s="7" t="s">
        <v>99</v>
      </c>
      <c r="C2" s="7"/>
      <c r="D2" s="7"/>
      <c r="E2" s="7"/>
      <c r="F2" s="8" t="s">
        <v>3</v>
      </c>
      <c r="G2" s="9">
        <v>9</v>
      </c>
    </row>
    <row r="3" spans="1:7" ht="18.75">
      <c r="A3" s="6" t="s">
        <v>75</v>
      </c>
      <c r="B3" s="10">
        <v>8687.8</v>
      </c>
      <c r="F3" s="8" t="s">
        <v>5</v>
      </c>
      <c r="G3" s="11">
        <v>4</v>
      </c>
    </row>
    <row r="4" spans="1:7" ht="18.75">
      <c r="A4" s="12" t="s">
        <v>76</v>
      </c>
      <c r="B4" s="13"/>
      <c r="F4" s="8" t="s">
        <v>8</v>
      </c>
      <c r="G4" s="9">
        <v>1987</v>
      </c>
    </row>
    <row r="5" spans="1:3" ht="16.5" customHeight="1">
      <c r="A5" s="12" t="s">
        <v>76</v>
      </c>
      <c r="B5" s="13">
        <v>12.64</v>
      </c>
      <c r="C5" s="1" t="s">
        <v>9</v>
      </c>
    </row>
    <row r="6" spans="1:7" ht="18.75" hidden="1">
      <c r="A6" s="14" t="s">
        <v>10</v>
      </c>
      <c r="B6" s="15">
        <v>876.7</v>
      </c>
      <c r="C6" s="16"/>
      <c r="D6" s="16"/>
      <c r="E6" s="16"/>
      <c r="F6" s="16"/>
      <c r="G6" s="16"/>
    </row>
    <row r="7" spans="1:7" ht="18.75" hidden="1">
      <c r="A7" s="14" t="s">
        <v>12</v>
      </c>
      <c r="B7" s="17">
        <v>4.4</v>
      </c>
      <c r="C7" s="16" t="s">
        <v>78</v>
      </c>
      <c r="D7" s="16">
        <v>4</v>
      </c>
      <c r="E7" s="16"/>
      <c r="F7" s="16"/>
      <c r="G7" s="16"/>
    </row>
    <row r="8" spans="1:7" ht="38.25" customHeight="1" hidden="1">
      <c r="A8" s="18" t="s">
        <v>13</v>
      </c>
      <c r="B8" s="19" t="s">
        <v>14</v>
      </c>
      <c r="C8" s="19" t="s">
        <v>15</v>
      </c>
      <c r="D8" s="19" t="s">
        <v>16</v>
      </c>
      <c r="E8" s="19" t="s">
        <v>17</v>
      </c>
      <c r="F8" s="16"/>
      <c r="G8" s="16"/>
    </row>
    <row r="9" spans="1:7" ht="20.25" customHeight="1" hidden="1">
      <c r="A9" s="14"/>
      <c r="B9" s="17">
        <v>1180</v>
      </c>
      <c r="C9" s="17">
        <v>1795</v>
      </c>
      <c r="D9" s="17">
        <v>1070</v>
      </c>
      <c r="E9" s="17">
        <v>1905</v>
      </c>
      <c r="F9" s="16"/>
      <c r="G9" s="16"/>
    </row>
    <row r="10" spans="1:7" ht="18.75" hidden="1">
      <c r="A10" s="14" t="s">
        <v>18</v>
      </c>
      <c r="B10" s="20">
        <v>8687.8</v>
      </c>
      <c r="C10" s="16"/>
      <c r="D10" s="16"/>
      <c r="E10" s="16"/>
      <c r="F10" s="16"/>
      <c r="G10" s="16"/>
    </row>
    <row r="11" spans="1:7" ht="19.5" hidden="1">
      <c r="A11" s="14" t="s">
        <v>19</v>
      </c>
      <c r="B11" s="20">
        <v>849.8</v>
      </c>
      <c r="C11" s="20">
        <v>867.9</v>
      </c>
      <c r="D11" s="20">
        <f>B11+C11</f>
        <v>1717.6999999999998</v>
      </c>
      <c r="E11" s="16"/>
      <c r="F11" s="16"/>
      <c r="G11" s="16"/>
    </row>
    <row r="12" spans="1:7" ht="50.25" customHeight="1" hidden="1">
      <c r="A12" s="14" t="s">
        <v>20</v>
      </c>
      <c r="B12" s="19" t="s">
        <v>21</v>
      </c>
      <c r="C12" s="21" t="s">
        <v>22</v>
      </c>
      <c r="D12" s="19" t="s">
        <v>23</v>
      </c>
      <c r="E12" s="22" t="s">
        <v>24</v>
      </c>
      <c r="F12" s="17" t="s">
        <v>25</v>
      </c>
      <c r="G12" s="16"/>
    </row>
    <row r="13" spans="1:7" ht="23.25" customHeight="1" hidden="1">
      <c r="A13" s="23"/>
      <c r="B13" s="24">
        <v>143</v>
      </c>
      <c r="C13" s="24">
        <v>143</v>
      </c>
      <c r="D13" s="24"/>
      <c r="E13" s="25">
        <f>D13+C13+B13</f>
        <v>286</v>
      </c>
      <c r="F13" s="17"/>
      <c r="G13" s="16"/>
    </row>
    <row r="14" spans="1:7" ht="18.75" customHeight="1">
      <c r="A14" s="26" t="s">
        <v>26</v>
      </c>
      <c r="B14" s="26"/>
      <c r="C14" s="26"/>
      <c r="D14" s="26"/>
      <c r="E14" s="26"/>
      <c r="F14" s="26"/>
      <c r="G14" s="27" t="s">
        <v>27</v>
      </c>
    </row>
    <row r="15" spans="1:7" ht="15.75">
      <c r="A15" s="28" t="s">
        <v>28</v>
      </c>
      <c r="B15" s="28"/>
      <c r="C15" s="28"/>
      <c r="D15" s="28"/>
      <c r="E15" s="28"/>
      <c r="F15" s="28"/>
      <c r="G15" s="29">
        <f>B6*7.012*4</f>
        <v>24589.6816</v>
      </c>
    </row>
    <row r="16" spans="1:7" ht="15.75">
      <c r="A16" s="28" t="s">
        <v>29</v>
      </c>
      <c r="B16" s="28"/>
      <c r="C16" s="28"/>
      <c r="D16" s="28"/>
      <c r="E16" s="28"/>
      <c r="F16" s="28"/>
      <c r="G16" s="29">
        <f>B7*35.705*4</f>
        <v>628.408</v>
      </c>
    </row>
    <row r="17" spans="1:7" ht="15.75">
      <c r="A17" s="28" t="s">
        <v>30</v>
      </c>
      <c r="B17" s="28"/>
      <c r="C17" s="28"/>
      <c r="D17" s="28"/>
      <c r="E17" s="28"/>
      <c r="F17" s="28"/>
      <c r="G17" s="29">
        <f>B10*0.3613*4</f>
        <v>12555.608559999999</v>
      </c>
    </row>
    <row r="18" spans="1:7" ht="15.75">
      <c r="A18" s="28" t="s">
        <v>31</v>
      </c>
      <c r="B18" s="28"/>
      <c r="C18" s="28"/>
      <c r="D18" s="28"/>
      <c r="E18" s="28"/>
      <c r="F18" s="28"/>
      <c r="G18" s="29">
        <f>(B9*9.46/100*64)+(C9*7.09/100*38)+(D9*23.66/100*26)+(E9*1.77/100*5)</f>
        <v>18731.0855</v>
      </c>
    </row>
    <row r="19" spans="1:7" ht="15.75" customHeight="1">
      <c r="A19" s="30" t="s">
        <v>32</v>
      </c>
      <c r="B19" s="30"/>
      <c r="C19" s="30"/>
      <c r="D19" s="30"/>
      <c r="E19" s="30"/>
      <c r="F19" s="30"/>
      <c r="G19" s="31">
        <f>574906.73/199064.79*B3</f>
        <v>25090.698806624714</v>
      </c>
    </row>
    <row r="20" spans="1:7" ht="15.75">
      <c r="A20" s="28" t="s">
        <v>33</v>
      </c>
      <c r="B20" s="28"/>
      <c r="C20" s="28"/>
      <c r="D20" s="28"/>
      <c r="E20" s="28"/>
      <c r="F20" s="28"/>
      <c r="G20" s="29">
        <f>D11*0.14*2</f>
        <v>480.956</v>
      </c>
    </row>
    <row r="21" spans="1:7" ht="15.75" hidden="1">
      <c r="A21" s="28" t="s">
        <v>34</v>
      </c>
      <c r="B21" s="28"/>
      <c r="C21" s="28"/>
      <c r="D21" s="28"/>
      <c r="E21" s="28"/>
      <c r="F21" s="28"/>
      <c r="G21" s="29">
        <v>0</v>
      </c>
    </row>
    <row r="22" spans="1:7" ht="15.75">
      <c r="A22" s="28" t="s">
        <v>35</v>
      </c>
      <c r="B22" s="28"/>
      <c r="C22" s="28"/>
      <c r="D22" s="28"/>
      <c r="E22" s="28"/>
      <c r="F22" s="28"/>
      <c r="G22" s="29">
        <f>B3*0.845*4</f>
        <v>29364.763999999996</v>
      </c>
    </row>
    <row r="23" spans="1:7" ht="15.75">
      <c r="A23" s="28" t="s">
        <v>36</v>
      </c>
      <c r="B23" s="28"/>
      <c r="C23" s="28"/>
      <c r="D23" s="28"/>
      <c r="E23" s="28"/>
      <c r="F23" s="28"/>
      <c r="G23" s="29">
        <f>B3*2.648*4</f>
        <v>92021.1776</v>
      </c>
    </row>
    <row r="24" spans="1:7" ht="15.75">
      <c r="A24" s="28" t="s">
        <v>37</v>
      </c>
      <c r="B24" s="28"/>
      <c r="C24" s="28"/>
      <c r="D24" s="28"/>
      <c r="E24" s="28"/>
      <c r="F24" s="28"/>
      <c r="G24" s="29">
        <f>2201+2201+2201+2201</f>
        <v>8804</v>
      </c>
    </row>
    <row r="25" spans="1:7" ht="15.75">
      <c r="A25" s="28" t="s">
        <v>38</v>
      </c>
      <c r="B25" s="28"/>
      <c r="C25" s="28"/>
      <c r="D25" s="28"/>
      <c r="E25" s="28"/>
      <c r="F25" s="28"/>
      <c r="G25" s="29">
        <f>403*4</f>
        <v>1612</v>
      </c>
    </row>
    <row r="26" spans="1:7" ht="15.75">
      <c r="A26" s="28" t="s">
        <v>39</v>
      </c>
      <c r="B26" s="28"/>
      <c r="C26" s="28"/>
      <c r="D26" s="28"/>
      <c r="E26" s="28"/>
      <c r="F26" s="28"/>
      <c r="G26" s="29">
        <f>6*352+4*251.46</f>
        <v>3117.84</v>
      </c>
    </row>
    <row r="27" spans="1:7" ht="15.75" hidden="1">
      <c r="A27" s="28" t="s">
        <v>40</v>
      </c>
      <c r="B27" s="28"/>
      <c r="C27" s="28"/>
      <c r="D27" s="28"/>
      <c r="E27" s="28"/>
      <c r="F27" s="28"/>
      <c r="G27" s="29">
        <v>0</v>
      </c>
    </row>
    <row r="28" spans="1:7" ht="15.75" hidden="1">
      <c r="A28" s="28" t="s">
        <v>41</v>
      </c>
      <c r="B28" s="28"/>
      <c r="C28" s="28"/>
      <c r="D28" s="28"/>
      <c r="E28" s="28"/>
      <c r="F28" s="28"/>
      <c r="G28" s="29">
        <v>0</v>
      </c>
    </row>
    <row r="29" spans="1:7" ht="15.75" hidden="1">
      <c r="A29" s="28" t="s">
        <v>42</v>
      </c>
      <c r="B29" s="28"/>
      <c r="C29" s="28"/>
      <c r="D29" s="28"/>
      <c r="E29" s="28"/>
      <c r="F29" s="28"/>
      <c r="G29" s="29">
        <v>0</v>
      </c>
    </row>
    <row r="30" spans="1:7" ht="15.75">
      <c r="A30" s="28" t="s">
        <v>43</v>
      </c>
      <c r="B30" s="28"/>
      <c r="C30" s="28"/>
      <c r="D30" s="28"/>
      <c r="E30" s="28"/>
      <c r="F30" s="28"/>
      <c r="G30" s="29">
        <f>B3*1.75*4</f>
        <v>60814.59999999999</v>
      </c>
    </row>
    <row r="31" spans="1:7" ht="15.75" customHeight="1">
      <c r="A31" s="30" t="s">
        <v>44</v>
      </c>
      <c r="B31" s="30"/>
      <c r="C31" s="30"/>
      <c r="D31" s="30"/>
      <c r="E31" s="30"/>
      <c r="F31" s="30"/>
      <c r="G31" s="29">
        <f>(F13*4*8.57)+(B13*2*3.14)+(C13*1*3.14)+(D13*1*3.14)</f>
        <v>1347.0600000000002</v>
      </c>
    </row>
    <row r="32" spans="1:7" ht="15.75">
      <c r="A32" s="28" t="s">
        <v>45</v>
      </c>
      <c r="B32" s="28"/>
      <c r="C32" s="28"/>
      <c r="D32" s="28"/>
      <c r="E32" s="28"/>
      <c r="F32" s="28"/>
      <c r="G32" s="29">
        <f>B3*0.65*4</f>
        <v>22588.28</v>
      </c>
    </row>
    <row r="33" spans="1:7" ht="15.75">
      <c r="A33" s="28" t="s">
        <v>46</v>
      </c>
      <c r="B33" s="28"/>
      <c r="C33" s="28"/>
      <c r="D33" s="28"/>
      <c r="E33" s="28"/>
      <c r="F33" s="28"/>
      <c r="G33" s="29">
        <f>B3*0.2*4</f>
        <v>6950.24</v>
      </c>
    </row>
    <row r="34" spans="1:7" ht="15.75">
      <c r="A34" s="28" t="s">
        <v>47</v>
      </c>
      <c r="B34" s="28"/>
      <c r="C34" s="28"/>
      <c r="D34" s="28"/>
      <c r="E34" s="28"/>
      <c r="F34" s="28"/>
      <c r="G34" s="29">
        <f>B3*0.7*4</f>
        <v>24325.839999999997</v>
      </c>
    </row>
    <row r="35" spans="1:7" ht="15.75">
      <c r="A35" s="26" t="s">
        <v>48</v>
      </c>
      <c r="B35" s="26"/>
      <c r="C35" s="26"/>
      <c r="D35" s="26"/>
      <c r="E35" s="26"/>
      <c r="F35" s="26"/>
      <c r="G35" s="32">
        <f>G15+G16+G17+G18+G19+G20+G21+G22+G23+G24+G26+G30+G31+G32+G33+G34+G27+G28+G29+G25</f>
        <v>333022.2400666247</v>
      </c>
    </row>
    <row r="36" spans="1:7" ht="20.25" customHeight="1">
      <c r="A36" s="33" t="s">
        <v>49</v>
      </c>
      <c r="B36" s="33"/>
      <c r="C36" s="33"/>
      <c r="D36" s="33"/>
      <c r="E36" s="33"/>
      <c r="F36" s="33"/>
      <c r="G36" s="29"/>
    </row>
    <row r="37" spans="1:7" ht="15.75" hidden="1">
      <c r="A37" s="28" t="s">
        <v>50</v>
      </c>
      <c r="B37" s="28"/>
      <c r="C37" s="28"/>
      <c r="D37" s="28"/>
      <c r="E37" s="28"/>
      <c r="F37" s="28"/>
      <c r="G37" s="29"/>
    </row>
    <row r="38" spans="1:7" ht="15.75">
      <c r="A38" s="28" t="s">
        <v>51</v>
      </c>
      <c r="B38" s="28"/>
      <c r="C38" s="28"/>
      <c r="D38" s="28"/>
      <c r="E38" s="28"/>
      <c r="F38" s="28"/>
      <c r="G38" s="29"/>
    </row>
    <row r="39" spans="1:7" ht="15.75">
      <c r="A39" s="34" t="s">
        <v>52</v>
      </c>
      <c r="B39" s="34"/>
      <c r="C39" s="34"/>
      <c r="D39" s="34"/>
      <c r="E39" s="34"/>
      <c r="F39" s="34"/>
      <c r="G39" s="29">
        <v>36750</v>
      </c>
    </row>
    <row r="40" spans="1:7" ht="15.75" hidden="1">
      <c r="A40" s="34" t="s">
        <v>53</v>
      </c>
      <c r="B40" s="34"/>
      <c r="C40" s="34"/>
      <c r="D40" s="34"/>
      <c r="E40" s="34"/>
      <c r="F40" s="34"/>
      <c r="G40" s="29"/>
    </row>
    <row r="41" spans="1:7" ht="15.75" hidden="1">
      <c r="A41" s="34" t="s">
        <v>54</v>
      </c>
      <c r="B41" s="34"/>
      <c r="C41" s="34"/>
      <c r="D41" s="34"/>
      <c r="E41" s="34"/>
      <c r="F41" s="34"/>
      <c r="G41" s="29"/>
    </row>
    <row r="42" spans="1:7" ht="15.75" hidden="1">
      <c r="A42" s="34" t="s">
        <v>55</v>
      </c>
      <c r="B42" s="34"/>
      <c r="C42" s="34"/>
      <c r="D42" s="34"/>
      <c r="E42" s="34"/>
      <c r="F42" s="34"/>
      <c r="G42" s="29"/>
    </row>
    <row r="43" spans="1:7" ht="15.75" hidden="1">
      <c r="A43" s="34" t="s">
        <v>56</v>
      </c>
      <c r="B43" s="34"/>
      <c r="C43" s="34"/>
      <c r="D43" s="34"/>
      <c r="E43" s="34"/>
      <c r="F43" s="34"/>
      <c r="G43" s="29"/>
    </row>
    <row r="44" spans="1:7" ht="15.75" hidden="1">
      <c r="A44" s="34" t="s">
        <v>57</v>
      </c>
      <c r="B44" s="34"/>
      <c r="C44" s="34"/>
      <c r="D44" s="34"/>
      <c r="E44" s="34"/>
      <c r="F44" s="34"/>
      <c r="G44" s="29">
        <v>4520</v>
      </c>
    </row>
    <row r="45" spans="1:7" ht="15.75">
      <c r="A45" s="34" t="s">
        <v>58</v>
      </c>
      <c r="B45" s="34"/>
      <c r="C45" s="34"/>
      <c r="D45" s="34"/>
      <c r="E45" s="34"/>
      <c r="F45" s="34"/>
      <c r="G45" s="29">
        <v>673</v>
      </c>
    </row>
    <row r="46" spans="1:7" ht="15.75">
      <c r="A46" s="34" t="s">
        <v>59</v>
      </c>
      <c r="B46" s="34"/>
      <c r="C46" s="34"/>
      <c r="D46" s="34"/>
      <c r="E46" s="34"/>
      <c r="F46" s="34"/>
      <c r="G46" s="29">
        <v>11620</v>
      </c>
    </row>
    <row r="47" spans="1:7" ht="15.75" hidden="1">
      <c r="A47" s="34" t="s">
        <v>60</v>
      </c>
      <c r="B47" s="34"/>
      <c r="C47" s="34"/>
      <c r="D47" s="34"/>
      <c r="E47" s="34"/>
      <c r="F47" s="34"/>
      <c r="G47" s="29"/>
    </row>
    <row r="48" spans="1:7" ht="15.75" hidden="1">
      <c r="A48" s="34" t="s">
        <v>61</v>
      </c>
      <c r="B48" s="34"/>
      <c r="C48" s="34"/>
      <c r="D48" s="34"/>
      <c r="E48" s="34"/>
      <c r="F48" s="34"/>
      <c r="G48" s="29"/>
    </row>
    <row r="49" spans="1:7" ht="15.75">
      <c r="A49" s="34" t="s">
        <v>62</v>
      </c>
      <c r="B49" s="34"/>
      <c r="C49" s="34"/>
      <c r="D49" s="34"/>
      <c r="E49" s="34"/>
      <c r="F49" s="34"/>
      <c r="G49" s="29">
        <v>91020</v>
      </c>
    </row>
    <row r="50" spans="1:7" ht="15.75">
      <c r="A50" s="34" t="s">
        <v>63</v>
      </c>
      <c r="B50" s="34"/>
      <c r="C50" s="34"/>
      <c r="D50" s="34"/>
      <c r="E50" s="34"/>
      <c r="F50" s="34"/>
      <c r="G50" s="29">
        <v>18640</v>
      </c>
    </row>
    <row r="51" spans="1:7" ht="15.75" hidden="1">
      <c r="A51" s="34" t="s">
        <v>64</v>
      </c>
      <c r="B51" s="34"/>
      <c r="C51" s="34"/>
      <c r="D51" s="34"/>
      <c r="E51" s="34"/>
      <c r="F51" s="34"/>
      <c r="G51" s="29"/>
    </row>
    <row r="52" spans="1:7" ht="15.75" hidden="1">
      <c r="A52" s="34" t="s">
        <v>65</v>
      </c>
      <c r="B52" s="34"/>
      <c r="C52" s="34"/>
      <c r="D52" s="34"/>
      <c r="E52" s="34"/>
      <c r="F52" s="34"/>
      <c r="G52" s="29"/>
    </row>
    <row r="53" spans="1:7" ht="18.75" customHeight="1">
      <c r="A53" s="33" t="s">
        <v>66</v>
      </c>
      <c r="B53" s="33"/>
      <c r="C53" s="33"/>
      <c r="D53" s="33"/>
      <c r="E53" s="33"/>
      <c r="F53" s="33"/>
      <c r="G53" s="32">
        <f>G39+G40+G41+G42+G43+G44+G45+G46+G47+G48+G49+G50+G51+G52</f>
        <v>163223</v>
      </c>
    </row>
    <row r="54" spans="1:7" ht="21" customHeight="1">
      <c r="A54" s="33" t="s">
        <v>67</v>
      </c>
      <c r="B54" s="33"/>
      <c r="C54" s="33"/>
      <c r="D54" s="33"/>
      <c r="E54" s="33"/>
      <c r="F54" s="33"/>
      <c r="G54" s="32">
        <f>G35+G53</f>
        <v>496245.2400666247</v>
      </c>
    </row>
    <row r="55" spans="1:7" ht="15.75">
      <c r="A55" s="28" t="s">
        <v>68</v>
      </c>
      <c r="B55" s="28"/>
      <c r="C55" s="28"/>
      <c r="D55" s="28"/>
      <c r="E55" s="28"/>
      <c r="F55" s="28"/>
      <c r="G55" s="29">
        <v>-664.98</v>
      </c>
    </row>
    <row r="56" spans="1:7" ht="15.75">
      <c r="A56" s="41" t="s">
        <v>69</v>
      </c>
      <c r="B56" s="41"/>
      <c r="C56" s="41"/>
      <c r="D56" s="41"/>
      <c r="E56" s="41"/>
      <c r="F56" s="41"/>
      <c r="G56" s="29">
        <f>281.58*4+141.6*4+141.6*4+180*4</f>
        <v>2979.12</v>
      </c>
    </row>
    <row r="57" spans="1:7" ht="15.75" customHeight="1">
      <c r="A57" s="42" t="s">
        <v>70</v>
      </c>
      <c r="B57" s="42"/>
      <c r="C57" s="42"/>
      <c r="D57" s="42"/>
      <c r="E57" s="42"/>
      <c r="F57" s="42"/>
      <c r="G57" s="32">
        <f>B3*B5*4+G56</f>
        <v>442234.288</v>
      </c>
    </row>
    <row r="58" spans="1:7" ht="15.75" customHeight="1">
      <c r="A58" s="43" t="s">
        <v>71</v>
      </c>
      <c r="B58" s="43"/>
      <c r="C58" s="43"/>
      <c r="D58" s="43"/>
      <c r="E58" s="43"/>
      <c r="F58" s="43"/>
      <c r="G58" s="44">
        <v>44536.49</v>
      </c>
    </row>
    <row r="59" spans="1:7" ht="59.25" customHeight="1">
      <c r="A59" s="33" t="s">
        <v>80</v>
      </c>
      <c r="B59" s="33"/>
      <c r="C59" s="33"/>
      <c r="D59" s="33"/>
      <c r="E59" s="33"/>
      <c r="F59" s="33"/>
      <c r="G59" s="32">
        <f>G54-G57+G58-G55</f>
        <v>99212.4220666247</v>
      </c>
    </row>
  </sheetData>
  <sheetProtection selectLockedCells="1" selectUnlockedCells="1"/>
  <mergeCells count="48">
    <mergeCell ref="A1:G1"/>
    <mergeCell ref="B2:E2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0"/>
  </sheetPr>
  <dimension ref="A1:G59"/>
  <sheetViews>
    <sheetView zoomScale="75" zoomScaleNormal="75" workbookViewId="0" topLeftCell="A14">
      <pane ySplit="65535" topLeftCell="A14" activePane="topLeft" state="split"/>
      <selection pane="topLeft" activeCell="G58" activeCellId="1" sqref="A77:G138 G58"/>
      <selection pane="bottomLeft" activeCell="A14" sqref="A14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4.00390625" style="1" customWidth="1"/>
    <col min="8" max="16384" width="9.140625" style="1" customWidth="1"/>
  </cols>
  <sheetData>
    <row r="1" spans="1:7" ht="40.5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73</v>
      </c>
      <c r="B2" s="7" t="s">
        <v>100</v>
      </c>
      <c r="C2" s="7"/>
      <c r="D2" s="7"/>
      <c r="E2" s="7"/>
      <c r="F2" s="8" t="s">
        <v>3</v>
      </c>
      <c r="G2" s="9">
        <v>10</v>
      </c>
    </row>
    <row r="3" spans="1:7" ht="18.75">
      <c r="A3" s="6" t="s">
        <v>75</v>
      </c>
      <c r="B3" s="10">
        <v>5271</v>
      </c>
      <c r="F3" s="8" t="s">
        <v>5</v>
      </c>
      <c r="G3" s="11">
        <v>2</v>
      </c>
    </row>
    <row r="4" spans="1:7" ht="18.75">
      <c r="A4" s="12" t="s">
        <v>76</v>
      </c>
      <c r="B4" s="13"/>
      <c r="F4" s="8" t="s">
        <v>8</v>
      </c>
      <c r="G4" s="9">
        <v>1995</v>
      </c>
    </row>
    <row r="5" spans="1:3" ht="16.5" customHeight="1">
      <c r="A5" s="12" t="s">
        <v>76</v>
      </c>
      <c r="B5" s="13">
        <v>12.64</v>
      </c>
      <c r="C5" s="1" t="s">
        <v>9</v>
      </c>
    </row>
    <row r="6" spans="1:7" ht="18.75" hidden="1">
      <c r="A6" s="14" t="s">
        <v>10</v>
      </c>
      <c r="B6" s="15">
        <v>785.4</v>
      </c>
      <c r="C6" s="16"/>
      <c r="D6" s="16"/>
      <c r="E6" s="16"/>
      <c r="F6" s="16"/>
      <c r="G6" s="16"/>
    </row>
    <row r="7" spans="1:7" ht="18.75" hidden="1">
      <c r="A7" s="14" t="s">
        <v>12</v>
      </c>
      <c r="B7" s="17">
        <v>2.2</v>
      </c>
      <c r="C7" s="16" t="s">
        <v>78</v>
      </c>
      <c r="D7" s="16">
        <v>2</v>
      </c>
      <c r="E7" s="16"/>
      <c r="F7" s="16"/>
      <c r="G7" s="16"/>
    </row>
    <row r="8" spans="1:7" ht="38.25" customHeight="1" hidden="1">
      <c r="A8" s="18" t="s">
        <v>13</v>
      </c>
      <c r="B8" s="19" t="s">
        <v>14</v>
      </c>
      <c r="C8" s="19" t="s">
        <v>15</v>
      </c>
      <c r="D8" s="19" t="s">
        <v>16</v>
      </c>
      <c r="E8" s="19" t="s">
        <v>17</v>
      </c>
      <c r="F8" s="16"/>
      <c r="G8" s="16"/>
    </row>
    <row r="9" spans="1:7" ht="20.25" customHeight="1" hidden="1">
      <c r="A9" s="14"/>
      <c r="B9" s="17">
        <v>1344</v>
      </c>
      <c r="C9" s="17">
        <v>1073</v>
      </c>
      <c r="D9" s="17">
        <v>1238</v>
      </c>
      <c r="E9" s="17">
        <v>1179</v>
      </c>
      <c r="F9" s="16"/>
      <c r="G9" s="16"/>
    </row>
    <row r="10" spans="1:7" ht="18.75" hidden="1">
      <c r="A10" s="14" t="s">
        <v>18</v>
      </c>
      <c r="B10" s="20">
        <v>5271</v>
      </c>
      <c r="C10" s="16"/>
      <c r="D10" s="16"/>
      <c r="E10" s="16"/>
      <c r="F10" s="16"/>
      <c r="G10" s="16"/>
    </row>
    <row r="11" spans="1:7" ht="19.5" hidden="1">
      <c r="A11" s="14" t="s">
        <v>19</v>
      </c>
      <c r="B11" s="20">
        <v>627.2</v>
      </c>
      <c r="C11" s="20">
        <v>448.5</v>
      </c>
      <c r="D11" s="20">
        <f>B11+C11</f>
        <v>1075.7</v>
      </c>
      <c r="E11" s="16"/>
      <c r="F11" s="16"/>
      <c r="G11" s="16"/>
    </row>
    <row r="12" spans="1:7" ht="50.25" customHeight="1" hidden="1">
      <c r="A12" s="14" t="s">
        <v>20</v>
      </c>
      <c r="B12" s="19" t="s">
        <v>21</v>
      </c>
      <c r="C12" s="21" t="s">
        <v>22</v>
      </c>
      <c r="D12" s="19" t="s">
        <v>23</v>
      </c>
      <c r="E12" s="22" t="s">
        <v>24</v>
      </c>
      <c r="F12" s="17" t="s">
        <v>25</v>
      </c>
      <c r="G12" s="16"/>
    </row>
    <row r="13" spans="1:7" ht="23.25" customHeight="1" hidden="1">
      <c r="A13" s="23"/>
      <c r="B13" s="24">
        <v>80</v>
      </c>
      <c r="C13" s="24">
        <v>80</v>
      </c>
      <c r="D13" s="24"/>
      <c r="E13" s="25">
        <f>D13+C13+B13</f>
        <v>160</v>
      </c>
      <c r="F13" s="17"/>
      <c r="G13" s="16"/>
    </row>
    <row r="14" spans="1:7" ht="18.75" customHeight="1">
      <c r="A14" s="26" t="s">
        <v>26</v>
      </c>
      <c r="B14" s="26"/>
      <c r="C14" s="26"/>
      <c r="D14" s="26"/>
      <c r="E14" s="26"/>
      <c r="F14" s="26"/>
      <c r="G14" s="27" t="s">
        <v>27</v>
      </c>
    </row>
    <row r="15" spans="1:7" ht="15.75">
      <c r="A15" s="28" t="s">
        <v>28</v>
      </c>
      <c r="B15" s="28"/>
      <c r="C15" s="28"/>
      <c r="D15" s="28"/>
      <c r="E15" s="28"/>
      <c r="F15" s="28"/>
      <c r="G15" s="29">
        <f>B6*7.012*4</f>
        <v>22028.899199999996</v>
      </c>
    </row>
    <row r="16" spans="1:7" ht="15.75">
      <c r="A16" s="28" t="s">
        <v>29</v>
      </c>
      <c r="B16" s="28"/>
      <c r="C16" s="28"/>
      <c r="D16" s="28"/>
      <c r="E16" s="28"/>
      <c r="F16" s="28"/>
      <c r="G16" s="29">
        <f>B7*35.705*4</f>
        <v>314.204</v>
      </c>
    </row>
    <row r="17" spans="1:7" ht="15.75">
      <c r="A17" s="28" t="s">
        <v>30</v>
      </c>
      <c r="B17" s="28"/>
      <c r="C17" s="28"/>
      <c r="D17" s="28"/>
      <c r="E17" s="28"/>
      <c r="F17" s="28"/>
      <c r="G17" s="29">
        <f>B10*0.3613*4</f>
        <v>7617.6492</v>
      </c>
    </row>
    <row r="18" spans="1:7" ht="15.75">
      <c r="A18" s="28" t="s">
        <v>31</v>
      </c>
      <c r="B18" s="28"/>
      <c r="C18" s="28"/>
      <c r="D18" s="28"/>
      <c r="E18" s="28"/>
      <c r="F18" s="28"/>
      <c r="G18" s="29">
        <f>(B9*9.46/100*64)+(C9*7.09/100*38)+(D9*23.66/100*26)+(E9*1.77/100*5)</f>
        <v>18748.0125</v>
      </c>
    </row>
    <row r="19" spans="1:7" ht="15.75" customHeight="1">
      <c r="A19" s="30" t="s">
        <v>32</v>
      </c>
      <c r="B19" s="30"/>
      <c r="C19" s="30"/>
      <c r="D19" s="30"/>
      <c r="E19" s="30"/>
      <c r="F19" s="30"/>
      <c r="G19" s="31">
        <f>574906.73/199064.79*B3</f>
        <v>15222.849675374533</v>
      </c>
    </row>
    <row r="20" spans="1:7" ht="15.75">
      <c r="A20" s="28" t="s">
        <v>33</v>
      </c>
      <c r="B20" s="28"/>
      <c r="C20" s="28"/>
      <c r="D20" s="28"/>
      <c r="E20" s="28"/>
      <c r="F20" s="28"/>
      <c r="G20" s="29">
        <f>D11*0.14*2</f>
        <v>301.196</v>
      </c>
    </row>
    <row r="21" spans="1:7" ht="15.75" hidden="1">
      <c r="A21" s="28" t="s">
        <v>34</v>
      </c>
      <c r="B21" s="28"/>
      <c r="C21" s="28"/>
      <c r="D21" s="28"/>
      <c r="E21" s="28"/>
      <c r="F21" s="28"/>
      <c r="G21" s="29">
        <v>0</v>
      </c>
    </row>
    <row r="22" spans="1:7" ht="15.75">
      <c r="A22" s="28" t="s">
        <v>35</v>
      </c>
      <c r="B22" s="28"/>
      <c r="C22" s="28"/>
      <c r="D22" s="28"/>
      <c r="E22" s="28"/>
      <c r="F22" s="28"/>
      <c r="G22" s="29">
        <f>B3*0.845*4</f>
        <v>17815.98</v>
      </c>
    </row>
    <row r="23" spans="1:7" ht="15.75">
      <c r="A23" s="28" t="s">
        <v>36</v>
      </c>
      <c r="B23" s="28"/>
      <c r="C23" s="28"/>
      <c r="D23" s="28"/>
      <c r="E23" s="28"/>
      <c r="F23" s="28"/>
      <c r="G23" s="29">
        <f>B3*2.648*4</f>
        <v>55830.432</v>
      </c>
    </row>
    <row r="24" spans="1:7" ht="15.75" hidden="1">
      <c r="A24" s="28" t="s">
        <v>37</v>
      </c>
      <c r="B24" s="28"/>
      <c r="C24" s="28"/>
      <c r="D24" s="28"/>
      <c r="E24" s="28"/>
      <c r="F24" s="28"/>
      <c r="G24" s="29">
        <v>0</v>
      </c>
    </row>
    <row r="25" spans="1:7" ht="15.75">
      <c r="A25" s="28" t="s">
        <v>38</v>
      </c>
      <c r="B25" s="28"/>
      <c r="C25" s="28"/>
      <c r="D25" s="28"/>
      <c r="E25" s="28"/>
      <c r="F25" s="28"/>
      <c r="G25" s="29">
        <f>403*4</f>
        <v>1612</v>
      </c>
    </row>
    <row r="26" spans="1:7" ht="15.75">
      <c r="A26" s="28" t="s">
        <v>39</v>
      </c>
      <c r="B26" s="28"/>
      <c r="C26" s="28"/>
      <c r="D26" s="28"/>
      <c r="E26" s="28"/>
      <c r="F26" s="28"/>
      <c r="G26" s="29">
        <f>6*352+3*251.46</f>
        <v>2866.38</v>
      </c>
    </row>
    <row r="27" spans="1:7" ht="15.75" hidden="1">
      <c r="A27" s="28" t="s">
        <v>40</v>
      </c>
      <c r="B27" s="28"/>
      <c r="C27" s="28"/>
      <c r="D27" s="28"/>
      <c r="E27" s="28"/>
      <c r="F27" s="28"/>
      <c r="G27" s="29">
        <v>0</v>
      </c>
    </row>
    <row r="28" spans="1:7" ht="15.75" hidden="1">
      <c r="A28" s="28" t="s">
        <v>41</v>
      </c>
      <c r="B28" s="28"/>
      <c r="C28" s="28"/>
      <c r="D28" s="28"/>
      <c r="E28" s="28"/>
      <c r="F28" s="28"/>
      <c r="G28" s="29">
        <v>0</v>
      </c>
    </row>
    <row r="29" spans="1:7" ht="15.75" hidden="1">
      <c r="A29" s="28" t="s">
        <v>42</v>
      </c>
      <c r="B29" s="28"/>
      <c r="C29" s="28"/>
      <c r="D29" s="28"/>
      <c r="E29" s="28"/>
      <c r="F29" s="28"/>
      <c r="G29" s="29">
        <v>0</v>
      </c>
    </row>
    <row r="30" spans="1:7" ht="15.75">
      <c r="A30" s="28" t="s">
        <v>43</v>
      </c>
      <c r="B30" s="28"/>
      <c r="C30" s="28"/>
      <c r="D30" s="28"/>
      <c r="E30" s="28"/>
      <c r="F30" s="28"/>
      <c r="G30" s="29">
        <f>B3*1.75*4</f>
        <v>36897</v>
      </c>
    </row>
    <row r="31" spans="1:7" ht="15.75" customHeight="1">
      <c r="A31" s="30" t="s">
        <v>44</v>
      </c>
      <c r="B31" s="30"/>
      <c r="C31" s="30"/>
      <c r="D31" s="30"/>
      <c r="E31" s="30"/>
      <c r="F31" s="30"/>
      <c r="G31" s="29">
        <f>(F13*4*8.57)+(B13*2*3.14)+(C13*1*3.14)+(D13*1*3.14)</f>
        <v>753.6</v>
      </c>
    </row>
    <row r="32" spans="1:7" ht="15.75">
      <c r="A32" s="28" t="s">
        <v>45</v>
      </c>
      <c r="B32" s="28"/>
      <c r="C32" s="28"/>
      <c r="D32" s="28"/>
      <c r="E32" s="28"/>
      <c r="F32" s="28"/>
      <c r="G32" s="29">
        <f>B3*0.65*4</f>
        <v>13704.6</v>
      </c>
    </row>
    <row r="33" spans="1:7" ht="15.75">
      <c r="A33" s="28" t="s">
        <v>46</v>
      </c>
      <c r="B33" s="28"/>
      <c r="C33" s="28"/>
      <c r="D33" s="28"/>
      <c r="E33" s="28"/>
      <c r="F33" s="28"/>
      <c r="G33" s="29">
        <f>B3*0.2*4</f>
        <v>4216.8</v>
      </c>
    </row>
    <row r="34" spans="1:7" ht="15.75">
      <c r="A34" s="28" t="s">
        <v>47</v>
      </c>
      <c r="B34" s="28"/>
      <c r="C34" s="28"/>
      <c r="D34" s="28"/>
      <c r="E34" s="28"/>
      <c r="F34" s="28"/>
      <c r="G34" s="29">
        <f>B3*0.7*4</f>
        <v>14758.8</v>
      </c>
    </row>
    <row r="35" spans="1:7" ht="15.75">
      <c r="A35" s="26" t="s">
        <v>48</v>
      </c>
      <c r="B35" s="26"/>
      <c r="C35" s="26"/>
      <c r="D35" s="26"/>
      <c r="E35" s="26"/>
      <c r="F35" s="26"/>
      <c r="G35" s="32">
        <f>G15+G16+G17+G18+G19+G20+G21+G22+G23+G24+G26+G30+G31+G32+G33+G34+G27+G28+G29+G25</f>
        <v>212688.40257537452</v>
      </c>
    </row>
    <row r="36" spans="1:7" ht="20.25" customHeight="1">
      <c r="A36" s="33" t="s">
        <v>49</v>
      </c>
      <c r="B36" s="33"/>
      <c r="C36" s="33"/>
      <c r="D36" s="33"/>
      <c r="E36" s="33"/>
      <c r="F36" s="33"/>
      <c r="G36" s="29"/>
    </row>
    <row r="37" spans="1:7" ht="15.75" hidden="1">
      <c r="A37" s="28" t="s">
        <v>50</v>
      </c>
      <c r="B37" s="28"/>
      <c r="C37" s="28"/>
      <c r="D37" s="28"/>
      <c r="E37" s="28"/>
      <c r="F37" s="28"/>
      <c r="G37" s="29"/>
    </row>
    <row r="38" spans="1:7" ht="15.75">
      <c r="A38" s="28" t="s">
        <v>51</v>
      </c>
      <c r="B38" s="28"/>
      <c r="C38" s="28"/>
      <c r="D38" s="28"/>
      <c r="E38" s="28"/>
      <c r="F38" s="28"/>
      <c r="G38" s="29"/>
    </row>
    <row r="39" spans="1:7" ht="15.75">
      <c r="A39" s="34" t="s">
        <v>52</v>
      </c>
      <c r="B39" s="34"/>
      <c r="C39" s="34"/>
      <c r="D39" s="34"/>
      <c r="E39" s="34"/>
      <c r="F39" s="34"/>
      <c r="G39" s="29">
        <v>97220</v>
      </c>
    </row>
    <row r="40" spans="1:7" ht="15.75" hidden="1">
      <c r="A40" s="34" t="s">
        <v>53</v>
      </c>
      <c r="B40" s="34"/>
      <c r="C40" s="34"/>
      <c r="D40" s="34"/>
      <c r="E40" s="34"/>
      <c r="F40" s="34"/>
      <c r="G40" s="29"/>
    </row>
    <row r="41" spans="1:7" ht="15.75" hidden="1">
      <c r="A41" s="34" t="s">
        <v>54</v>
      </c>
      <c r="B41" s="34"/>
      <c r="C41" s="34"/>
      <c r="D41" s="34"/>
      <c r="E41" s="34"/>
      <c r="F41" s="34"/>
      <c r="G41" s="29"/>
    </row>
    <row r="42" spans="1:7" ht="15.75" hidden="1">
      <c r="A42" s="34" t="s">
        <v>55</v>
      </c>
      <c r="B42" s="34"/>
      <c r="C42" s="34"/>
      <c r="D42" s="34"/>
      <c r="E42" s="34"/>
      <c r="F42" s="34"/>
      <c r="G42" s="29"/>
    </row>
    <row r="43" spans="1:7" ht="15.75" hidden="1">
      <c r="A43" s="34" t="s">
        <v>56</v>
      </c>
      <c r="B43" s="34"/>
      <c r="C43" s="34"/>
      <c r="D43" s="34"/>
      <c r="E43" s="34"/>
      <c r="F43" s="34"/>
      <c r="G43" s="29"/>
    </row>
    <row r="44" spans="1:7" ht="15.75" hidden="1">
      <c r="A44" s="34" t="s">
        <v>57</v>
      </c>
      <c r="B44" s="34"/>
      <c r="C44" s="34"/>
      <c r="D44" s="34"/>
      <c r="E44" s="34"/>
      <c r="F44" s="34"/>
      <c r="G44" s="29"/>
    </row>
    <row r="45" spans="1:7" ht="15.75">
      <c r="A45" s="34" t="s">
        <v>58</v>
      </c>
      <c r="B45" s="34"/>
      <c r="C45" s="34"/>
      <c r="D45" s="34"/>
      <c r="E45" s="34"/>
      <c r="F45" s="34"/>
      <c r="G45" s="29">
        <v>1927</v>
      </c>
    </row>
    <row r="46" spans="1:7" ht="15.75">
      <c r="A46" s="34" t="s">
        <v>59</v>
      </c>
      <c r="B46" s="34"/>
      <c r="C46" s="34"/>
      <c r="D46" s="34"/>
      <c r="E46" s="34"/>
      <c r="F46" s="34"/>
      <c r="G46" s="29">
        <v>3260</v>
      </c>
    </row>
    <row r="47" spans="1:7" ht="15.75" hidden="1">
      <c r="A47" s="34" t="s">
        <v>60</v>
      </c>
      <c r="B47" s="34"/>
      <c r="C47" s="34"/>
      <c r="D47" s="34"/>
      <c r="E47" s="34"/>
      <c r="F47" s="34"/>
      <c r="G47" s="29"/>
    </row>
    <row r="48" spans="1:7" ht="15.75" hidden="1">
      <c r="A48" s="34" t="s">
        <v>61</v>
      </c>
      <c r="B48" s="34"/>
      <c r="C48" s="34"/>
      <c r="D48" s="34"/>
      <c r="E48" s="34"/>
      <c r="F48" s="34"/>
      <c r="G48" s="29"/>
    </row>
    <row r="49" spans="1:7" ht="15.75">
      <c r="A49" s="34" t="s">
        <v>62</v>
      </c>
      <c r="B49" s="34"/>
      <c r="C49" s="34"/>
      <c r="D49" s="34"/>
      <c r="E49" s="34"/>
      <c r="F49" s="34"/>
      <c r="G49" s="29">
        <v>41170</v>
      </c>
    </row>
    <row r="50" spans="1:7" ht="15.75">
      <c r="A50" s="34" t="s">
        <v>63</v>
      </c>
      <c r="B50" s="34"/>
      <c r="C50" s="34"/>
      <c r="D50" s="34"/>
      <c r="E50" s="34"/>
      <c r="F50" s="34"/>
      <c r="G50" s="29">
        <v>16440</v>
      </c>
    </row>
    <row r="51" spans="1:7" ht="15.75" hidden="1">
      <c r="A51" s="34" t="s">
        <v>64</v>
      </c>
      <c r="B51" s="34"/>
      <c r="C51" s="34"/>
      <c r="D51" s="34"/>
      <c r="E51" s="34"/>
      <c r="F51" s="34"/>
      <c r="G51" s="29"/>
    </row>
    <row r="52" spans="1:7" ht="15.75" hidden="1">
      <c r="A52" s="34" t="s">
        <v>65</v>
      </c>
      <c r="B52" s="34"/>
      <c r="C52" s="34"/>
      <c r="D52" s="34"/>
      <c r="E52" s="34"/>
      <c r="F52" s="34"/>
      <c r="G52" s="29"/>
    </row>
    <row r="53" spans="1:7" ht="18.75" customHeight="1">
      <c r="A53" s="33" t="s">
        <v>66</v>
      </c>
      <c r="B53" s="33"/>
      <c r="C53" s="33"/>
      <c r="D53" s="33"/>
      <c r="E53" s="33"/>
      <c r="F53" s="33"/>
      <c r="G53" s="32">
        <f>G39+G40+G41+G42+G43+G44+G45+G46+G47+G48+G49+G50+G51+G52</f>
        <v>160017</v>
      </c>
    </row>
    <row r="54" spans="1:7" ht="21" customHeight="1">
      <c r="A54" s="33" t="s">
        <v>67</v>
      </c>
      <c r="B54" s="33"/>
      <c r="C54" s="33"/>
      <c r="D54" s="33"/>
      <c r="E54" s="33"/>
      <c r="F54" s="33"/>
      <c r="G54" s="32">
        <f>G35+G53</f>
        <v>372705.4025753745</v>
      </c>
    </row>
    <row r="55" spans="1:7" ht="15.75">
      <c r="A55" s="28" t="s">
        <v>68</v>
      </c>
      <c r="B55" s="28"/>
      <c r="C55" s="28"/>
      <c r="D55" s="28"/>
      <c r="E55" s="28"/>
      <c r="F55" s="28"/>
      <c r="G55" s="29">
        <v>-277.85</v>
      </c>
    </row>
    <row r="56" spans="1:7" ht="15.75">
      <c r="A56" s="41" t="s">
        <v>69</v>
      </c>
      <c r="B56" s="41"/>
      <c r="C56" s="41"/>
      <c r="D56" s="41"/>
      <c r="E56" s="41"/>
      <c r="F56" s="41"/>
      <c r="G56" s="29">
        <f>281.58*4+141.6*4+180*4</f>
        <v>2412.72</v>
      </c>
    </row>
    <row r="57" spans="1:7" ht="15.75" customHeight="1">
      <c r="A57" s="42" t="s">
        <v>70</v>
      </c>
      <c r="B57" s="42"/>
      <c r="C57" s="42"/>
      <c r="D57" s="42"/>
      <c r="E57" s="42"/>
      <c r="F57" s="42"/>
      <c r="G57" s="32">
        <f>B3*B5*4+G56</f>
        <v>268914.48</v>
      </c>
    </row>
    <row r="58" spans="1:7" ht="15.75" customHeight="1">
      <c r="A58" s="43" t="s">
        <v>71</v>
      </c>
      <c r="B58" s="43"/>
      <c r="C58" s="43"/>
      <c r="D58" s="43"/>
      <c r="E58" s="43"/>
      <c r="F58" s="43"/>
      <c r="G58" s="44">
        <v>16174.91</v>
      </c>
    </row>
    <row r="59" spans="1:7" ht="65.25" customHeight="1">
      <c r="A59" s="33" t="s">
        <v>80</v>
      </c>
      <c r="B59" s="33"/>
      <c r="C59" s="33"/>
      <c r="D59" s="33"/>
      <c r="E59" s="33"/>
      <c r="F59" s="33"/>
      <c r="G59" s="32">
        <f>G54-G57+G58-G55</f>
        <v>120243.68257537455</v>
      </c>
    </row>
  </sheetData>
  <sheetProtection selectLockedCells="1" selectUnlockedCells="1"/>
  <mergeCells count="48">
    <mergeCell ref="A1:G1"/>
    <mergeCell ref="B2:E2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0"/>
  </sheetPr>
  <dimension ref="A1:G59"/>
  <sheetViews>
    <sheetView zoomScale="75" zoomScaleNormal="75" workbookViewId="0" topLeftCell="A18">
      <pane ySplit="65535" topLeftCell="A18" activePane="topLeft" state="split"/>
      <selection pane="topLeft" activeCell="G58" activeCellId="1" sqref="A77:G138 G58"/>
      <selection pane="bottomLeft" activeCell="A18" sqref="A18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4.421875" style="1" customWidth="1"/>
    <col min="8" max="16384" width="9.140625" style="1" customWidth="1"/>
  </cols>
  <sheetData>
    <row r="1" spans="1:7" ht="40.5" customHeight="1">
      <c r="A1" s="5" t="s">
        <v>101</v>
      </c>
      <c r="B1" s="5"/>
      <c r="C1" s="5"/>
      <c r="D1" s="5"/>
      <c r="E1" s="5"/>
      <c r="F1" s="5"/>
      <c r="G1" s="5"/>
    </row>
    <row r="2" spans="1:7" ht="18.75">
      <c r="A2" s="6" t="s">
        <v>73</v>
      </c>
      <c r="B2" s="7" t="s">
        <v>102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75</v>
      </c>
      <c r="B3" s="10">
        <v>2744.4</v>
      </c>
      <c r="F3" s="8" t="s">
        <v>5</v>
      </c>
      <c r="G3" s="11">
        <v>3</v>
      </c>
    </row>
    <row r="4" spans="1:7" ht="18.75">
      <c r="A4" s="12" t="s">
        <v>76</v>
      </c>
      <c r="B4" s="13"/>
      <c r="F4" s="8" t="s">
        <v>8</v>
      </c>
      <c r="G4" s="9">
        <v>1966</v>
      </c>
    </row>
    <row r="5" spans="1:3" ht="16.5" customHeight="1">
      <c r="A5" s="12" t="s">
        <v>76</v>
      </c>
      <c r="B5" s="13">
        <v>9.49</v>
      </c>
      <c r="C5" s="1" t="s">
        <v>9</v>
      </c>
    </row>
    <row r="6" spans="1:7" ht="18.75" hidden="1">
      <c r="A6" s="14" t="s">
        <v>10</v>
      </c>
      <c r="B6" s="15">
        <v>184.5</v>
      </c>
      <c r="C6" s="16"/>
      <c r="D6" s="16"/>
      <c r="E6" s="16"/>
      <c r="F6" s="16"/>
      <c r="G6" s="16"/>
    </row>
    <row r="7" spans="1:7" ht="18.75" hidden="1">
      <c r="A7" s="14" t="s">
        <v>12</v>
      </c>
      <c r="B7" s="17">
        <v>0</v>
      </c>
      <c r="C7" s="16"/>
      <c r="D7" s="16"/>
      <c r="E7" s="16"/>
      <c r="F7" s="16"/>
      <c r="G7" s="16"/>
    </row>
    <row r="8" spans="1:7" ht="38.25" customHeight="1" hidden="1">
      <c r="A8" s="18" t="s">
        <v>13</v>
      </c>
      <c r="B8" s="19" t="s">
        <v>14</v>
      </c>
      <c r="C8" s="19" t="s">
        <v>15</v>
      </c>
      <c r="D8" s="19" t="s">
        <v>16</v>
      </c>
      <c r="E8" s="19" t="s">
        <v>17</v>
      </c>
      <c r="F8" s="16"/>
      <c r="G8" s="16"/>
    </row>
    <row r="9" spans="1:7" ht="20.25" customHeight="1" hidden="1">
      <c r="A9" s="14"/>
      <c r="B9" s="17">
        <v>443</v>
      </c>
      <c r="C9" s="17">
        <v>2430</v>
      </c>
      <c r="D9" s="17">
        <v>443</v>
      </c>
      <c r="E9" s="17">
        <v>2430</v>
      </c>
      <c r="F9" s="16"/>
      <c r="G9" s="16"/>
    </row>
    <row r="10" spans="1:7" ht="18.75" hidden="1">
      <c r="A10" s="14" t="s">
        <v>18</v>
      </c>
      <c r="B10" s="20">
        <v>0</v>
      </c>
      <c r="C10" s="16"/>
      <c r="D10" s="16"/>
      <c r="E10" s="16"/>
      <c r="F10" s="16"/>
      <c r="G10" s="16"/>
    </row>
    <row r="11" spans="1:7" ht="19.5" hidden="1">
      <c r="A11" s="14" t="s">
        <v>19</v>
      </c>
      <c r="B11" s="20">
        <v>677.9</v>
      </c>
      <c r="C11" s="20">
        <v>512</v>
      </c>
      <c r="D11" s="20">
        <f>B11+C11</f>
        <v>1189.9</v>
      </c>
      <c r="E11" s="16"/>
      <c r="F11" s="16"/>
      <c r="G11" s="16"/>
    </row>
    <row r="12" spans="1:7" ht="50.25" customHeight="1" hidden="1">
      <c r="A12" s="14" t="s">
        <v>20</v>
      </c>
      <c r="B12" s="19" t="s">
        <v>21</v>
      </c>
      <c r="C12" s="21" t="s">
        <v>22</v>
      </c>
      <c r="D12" s="19" t="s">
        <v>23</v>
      </c>
      <c r="E12" s="22" t="s">
        <v>24</v>
      </c>
      <c r="F12" s="17" t="s">
        <v>25</v>
      </c>
      <c r="G12" s="16"/>
    </row>
    <row r="13" spans="1:7" ht="23.25" customHeight="1" hidden="1">
      <c r="A13" s="23"/>
      <c r="B13" s="24">
        <v>60</v>
      </c>
      <c r="C13" s="24">
        <v>60</v>
      </c>
      <c r="D13" s="24"/>
      <c r="E13" s="25">
        <f>D13+C13+B13</f>
        <v>120</v>
      </c>
      <c r="F13" s="17"/>
      <c r="G13" s="16"/>
    </row>
    <row r="14" spans="1:7" ht="18.75" customHeight="1">
      <c r="A14" s="26" t="s">
        <v>26</v>
      </c>
      <c r="B14" s="26"/>
      <c r="C14" s="26"/>
      <c r="D14" s="26"/>
      <c r="E14" s="26"/>
      <c r="F14" s="26"/>
      <c r="G14" s="27" t="s">
        <v>27</v>
      </c>
    </row>
    <row r="15" spans="1:7" ht="15.75">
      <c r="A15" s="28" t="s">
        <v>28</v>
      </c>
      <c r="B15" s="28"/>
      <c r="C15" s="28"/>
      <c r="D15" s="28"/>
      <c r="E15" s="28"/>
      <c r="F15" s="28"/>
      <c r="G15" s="29">
        <f>B6*7.012*4</f>
        <v>5174.856</v>
      </c>
    </row>
    <row r="16" spans="1:7" ht="15.75" hidden="1">
      <c r="A16" s="28" t="s">
        <v>29</v>
      </c>
      <c r="B16" s="28"/>
      <c r="C16" s="28"/>
      <c r="D16" s="28"/>
      <c r="E16" s="28"/>
      <c r="F16" s="28"/>
      <c r="G16" s="29">
        <f>B7*35.705*12</f>
        <v>0</v>
      </c>
    </row>
    <row r="17" spans="1:7" ht="15.75" hidden="1">
      <c r="A17" s="28" t="s">
        <v>30</v>
      </c>
      <c r="B17" s="28"/>
      <c r="C17" s="28"/>
      <c r="D17" s="28"/>
      <c r="E17" s="28"/>
      <c r="F17" s="28"/>
      <c r="G17" s="29">
        <f>B10*0.3613*12</f>
        <v>0</v>
      </c>
    </row>
    <row r="18" spans="1:7" ht="15.75">
      <c r="A18" s="28" t="s">
        <v>31</v>
      </c>
      <c r="B18" s="28"/>
      <c r="C18" s="28"/>
      <c r="D18" s="28"/>
      <c r="E18" s="28"/>
      <c r="F18" s="28"/>
      <c r="G18" s="29">
        <f>(B9*9.46/100*64)+(C9*7.09/100*38)+(D9*23.66/100*26)+(E9*1.77/100*5)</f>
        <v>12169.219</v>
      </c>
    </row>
    <row r="19" spans="1:7" ht="15.75" customHeight="1">
      <c r="A19" s="30" t="s">
        <v>32</v>
      </c>
      <c r="B19" s="30"/>
      <c r="C19" s="30"/>
      <c r="D19" s="30"/>
      <c r="E19" s="30"/>
      <c r="F19" s="30"/>
      <c r="G19" s="31">
        <f>574906.73/199064.79*B3</f>
        <v>7925.9322043441225</v>
      </c>
    </row>
    <row r="20" spans="1:7" ht="15.75">
      <c r="A20" s="28" t="s">
        <v>33</v>
      </c>
      <c r="B20" s="28"/>
      <c r="C20" s="28"/>
      <c r="D20" s="28"/>
      <c r="E20" s="28"/>
      <c r="F20" s="28"/>
      <c r="G20" s="29">
        <f>D11*0.14*2</f>
        <v>333.1720000000001</v>
      </c>
    </row>
    <row r="21" spans="1:7" ht="15.75">
      <c r="A21" s="28" t="s">
        <v>34</v>
      </c>
      <c r="B21" s="28"/>
      <c r="C21" s="28"/>
      <c r="D21" s="28"/>
      <c r="E21" s="28"/>
      <c r="F21" s="28"/>
      <c r="G21" s="29">
        <f>95.95+3058.56+3058.56+725.58+3310.04</f>
        <v>10248.689999999999</v>
      </c>
    </row>
    <row r="22" spans="1:7" ht="15.75">
      <c r="A22" s="28" t="s">
        <v>35</v>
      </c>
      <c r="B22" s="28"/>
      <c r="C22" s="28"/>
      <c r="D22" s="28"/>
      <c r="E22" s="28"/>
      <c r="F22" s="28"/>
      <c r="G22" s="29">
        <f>B3*0.845*4</f>
        <v>9276.072</v>
      </c>
    </row>
    <row r="23" spans="1:7" ht="15.75" hidden="1">
      <c r="A23" s="28" t="s">
        <v>36</v>
      </c>
      <c r="B23" s="28"/>
      <c r="C23" s="28"/>
      <c r="D23" s="28"/>
      <c r="E23" s="28"/>
      <c r="F23" s="28"/>
      <c r="G23" s="29">
        <v>0</v>
      </c>
    </row>
    <row r="24" spans="1:7" ht="15.75" hidden="1">
      <c r="A24" s="28" t="s">
        <v>37</v>
      </c>
      <c r="B24" s="28"/>
      <c r="C24" s="28"/>
      <c r="D24" s="28"/>
      <c r="E24" s="28"/>
      <c r="F24" s="28"/>
      <c r="G24" s="29">
        <v>0</v>
      </c>
    </row>
    <row r="25" spans="1:7" ht="15.75" hidden="1">
      <c r="A25" s="28" t="s">
        <v>38</v>
      </c>
      <c r="B25" s="28"/>
      <c r="C25" s="28"/>
      <c r="D25" s="28"/>
      <c r="E25" s="28"/>
      <c r="F25" s="28"/>
      <c r="G25" s="29">
        <v>0</v>
      </c>
    </row>
    <row r="26" spans="1:7" ht="15.75">
      <c r="A26" s="28" t="s">
        <v>39</v>
      </c>
      <c r="B26" s="28"/>
      <c r="C26" s="28"/>
      <c r="D26" s="28"/>
      <c r="E26" s="28"/>
      <c r="F26" s="28"/>
      <c r="G26" s="29">
        <f>3*352+4*251.46</f>
        <v>2061.84</v>
      </c>
    </row>
    <row r="27" spans="1:7" ht="15.75" hidden="1">
      <c r="A27" s="28" t="s">
        <v>40</v>
      </c>
      <c r="B27" s="28"/>
      <c r="C27" s="28"/>
      <c r="D27" s="28"/>
      <c r="E27" s="28"/>
      <c r="F27" s="28"/>
      <c r="G27" s="29">
        <v>0</v>
      </c>
    </row>
    <row r="28" spans="1:7" ht="15.75" hidden="1">
      <c r="A28" s="28" t="s">
        <v>41</v>
      </c>
      <c r="B28" s="28"/>
      <c r="C28" s="28"/>
      <c r="D28" s="28"/>
      <c r="E28" s="28"/>
      <c r="F28" s="28"/>
      <c r="G28" s="29">
        <v>0</v>
      </c>
    </row>
    <row r="29" spans="1:7" ht="15.75" hidden="1">
      <c r="A29" s="28" t="s">
        <v>42</v>
      </c>
      <c r="B29" s="28"/>
      <c r="C29" s="28"/>
      <c r="D29" s="28"/>
      <c r="E29" s="28"/>
      <c r="F29" s="28"/>
      <c r="G29" s="29">
        <v>0</v>
      </c>
    </row>
    <row r="30" spans="1:7" ht="15.75">
      <c r="A30" s="28" t="s">
        <v>43</v>
      </c>
      <c r="B30" s="28"/>
      <c r="C30" s="28"/>
      <c r="D30" s="28"/>
      <c r="E30" s="28"/>
      <c r="F30" s="28"/>
      <c r="G30" s="29">
        <f>B3*1.75*4</f>
        <v>19210.8</v>
      </c>
    </row>
    <row r="31" spans="1:7" ht="15.75" customHeight="1">
      <c r="A31" s="30" t="s">
        <v>44</v>
      </c>
      <c r="B31" s="30"/>
      <c r="C31" s="30"/>
      <c r="D31" s="30"/>
      <c r="E31" s="30"/>
      <c r="F31" s="30"/>
      <c r="G31" s="29">
        <f>(F13*4*8.57)+(B13*2*3.14)+(C13*1*3.14)+(D13*1*3.14)</f>
        <v>565.2</v>
      </c>
    </row>
    <row r="32" spans="1:7" ht="15.75">
      <c r="A32" s="28" t="s">
        <v>45</v>
      </c>
      <c r="B32" s="28"/>
      <c r="C32" s="28"/>
      <c r="D32" s="28"/>
      <c r="E32" s="28"/>
      <c r="F32" s="28"/>
      <c r="G32" s="29">
        <f>B3*0.65*4</f>
        <v>7135.4400000000005</v>
      </c>
    </row>
    <row r="33" spans="1:7" ht="15.75">
      <c r="A33" s="28" t="s">
        <v>46</v>
      </c>
      <c r="B33" s="28"/>
      <c r="C33" s="28"/>
      <c r="D33" s="28"/>
      <c r="E33" s="28"/>
      <c r="F33" s="28"/>
      <c r="G33" s="29">
        <f>B3*0.2*4</f>
        <v>2195.52</v>
      </c>
    </row>
    <row r="34" spans="1:7" ht="15.75">
      <c r="A34" s="28" t="s">
        <v>47</v>
      </c>
      <c r="B34" s="28"/>
      <c r="C34" s="28"/>
      <c r="D34" s="28"/>
      <c r="E34" s="28"/>
      <c r="F34" s="28"/>
      <c r="G34" s="29">
        <f>B3*0.7*4</f>
        <v>7684.32</v>
      </c>
    </row>
    <row r="35" spans="1:7" ht="15.75">
      <c r="A35" s="26" t="s">
        <v>48</v>
      </c>
      <c r="B35" s="26"/>
      <c r="C35" s="26"/>
      <c r="D35" s="26"/>
      <c r="E35" s="26"/>
      <c r="F35" s="26"/>
      <c r="G35" s="32">
        <f>G15+G16+G17+G18+G19+G20+G21+G22+G23+G24+G26+G30+G31+G32+G33+G34+G27+G28+G29+G25</f>
        <v>83981.06120434412</v>
      </c>
    </row>
    <row r="36" spans="1:7" ht="20.25" customHeight="1">
      <c r="A36" s="33" t="s">
        <v>49</v>
      </c>
      <c r="B36" s="33"/>
      <c r="C36" s="33"/>
      <c r="D36" s="33"/>
      <c r="E36" s="33"/>
      <c r="F36" s="33"/>
      <c r="G36" s="29"/>
    </row>
    <row r="37" spans="1:7" ht="15.75" hidden="1">
      <c r="A37" s="28" t="s">
        <v>50</v>
      </c>
      <c r="B37" s="28"/>
      <c r="C37" s="28"/>
      <c r="D37" s="28"/>
      <c r="E37" s="28"/>
      <c r="F37" s="28"/>
      <c r="G37" s="29"/>
    </row>
    <row r="38" spans="1:7" ht="15.75">
      <c r="A38" s="28" t="s">
        <v>51</v>
      </c>
      <c r="B38" s="28"/>
      <c r="C38" s="28"/>
      <c r="D38" s="28"/>
      <c r="E38" s="28"/>
      <c r="F38" s="28"/>
      <c r="G38" s="29"/>
    </row>
    <row r="39" spans="1:7" ht="15.75">
      <c r="A39" s="34" t="s">
        <v>52</v>
      </c>
      <c r="B39" s="34"/>
      <c r="C39" s="34"/>
      <c r="D39" s="34"/>
      <c r="E39" s="34"/>
      <c r="F39" s="34"/>
      <c r="G39" s="29">
        <v>3700</v>
      </c>
    </row>
    <row r="40" spans="1:7" ht="15.75" hidden="1">
      <c r="A40" s="34" t="s">
        <v>53</v>
      </c>
      <c r="B40" s="34"/>
      <c r="C40" s="34"/>
      <c r="D40" s="34"/>
      <c r="E40" s="34"/>
      <c r="F40" s="34"/>
      <c r="G40" s="29"/>
    </row>
    <row r="41" spans="1:7" ht="15.75" hidden="1">
      <c r="A41" s="34" t="s">
        <v>54</v>
      </c>
      <c r="B41" s="34"/>
      <c r="C41" s="34"/>
      <c r="D41" s="34"/>
      <c r="E41" s="34"/>
      <c r="F41" s="34"/>
      <c r="G41" s="29"/>
    </row>
    <row r="42" spans="1:7" ht="15.75" hidden="1">
      <c r="A42" s="34" t="s">
        <v>55</v>
      </c>
      <c r="B42" s="34"/>
      <c r="C42" s="34"/>
      <c r="D42" s="34"/>
      <c r="E42" s="34"/>
      <c r="F42" s="34"/>
      <c r="G42" s="29"/>
    </row>
    <row r="43" spans="1:7" ht="15.75" hidden="1">
      <c r="A43" s="34" t="s">
        <v>56</v>
      </c>
      <c r="B43" s="34"/>
      <c r="C43" s="34"/>
      <c r="D43" s="34"/>
      <c r="E43" s="34"/>
      <c r="F43" s="34"/>
      <c r="G43" s="29"/>
    </row>
    <row r="44" spans="1:7" ht="15.75" hidden="1">
      <c r="A44" s="34" t="s">
        <v>57</v>
      </c>
      <c r="B44" s="34"/>
      <c r="C44" s="34"/>
      <c r="D44" s="34"/>
      <c r="E44" s="34"/>
      <c r="F44" s="34"/>
      <c r="G44" s="29"/>
    </row>
    <row r="45" spans="1:7" ht="15.75">
      <c r="A45" s="34" t="s">
        <v>58</v>
      </c>
      <c r="B45" s="34"/>
      <c r="C45" s="34"/>
      <c r="D45" s="34"/>
      <c r="E45" s="34"/>
      <c r="F45" s="34"/>
      <c r="G45" s="29">
        <v>168</v>
      </c>
    </row>
    <row r="46" spans="1:7" ht="15.75" hidden="1">
      <c r="A46" s="34" t="s">
        <v>59</v>
      </c>
      <c r="B46" s="34"/>
      <c r="C46" s="34"/>
      <c r="D46" s="34"/>
      <c r="E46" s="34"/>
      <c r="F46" s="34"/>
      <c r="G46" s="29"/>
    </row>
    <row r="47" spans="1:7" ht="15.75" hidden="1">
      <c r="A47" s="34" t="s">
        <v>60</v>
      </c>
      <c r="B47" s="34"/>
      <c r="C47" s="34"/>
      <c r="D47" s="34"/>
      <c r="E47" s="34"/>
      <c r="F47" s="34"/>
      <c r="G47" s="29"/>
    </row>
    <row r="48" spans="1:7" ht="15.75">
      <c r="A48" s="34" t="s">
        <v>61</v>
      </c>
      <c r="B48" s="34"/>
      <c r="C48" s="34"/>
      <c r="D48" s="34"/>
      <c r="E48" s="34"/>
      <c r="F48" s="34"/>
      <c r="G48" s="29">
        <v>1790</v>
      </c>
    </row>
    <row r="49" spans="1:7" ht="15.75" hidden="1">
      <c r="A49" s="34" t="s">
        <v>62</v>
      </c>
      <c r="B49" s="34"/>
      <c r="C49" s="34"/>
      <c r="D49" s="34"/>
      <c r="E49" s="34"/>
      <c r="F49" s="34"/>
      <c r="G49" s="29"/>
    </row>
    <row r="50" spans="1:7" ht="15.75">
      <c r="A50" s="34" t="s">
        <v>63</v>
      </c>
      <c r="B50" s="34"/>
      <c r="C50" s="34"/>
      <c r="D50" s="34"/>
      <c r="E50" s="34"/>
      <c r="F50" s="34"/>
      <c r="G50" s="29">
        <v>4610</v>
      </c>
    </row>
    <row r="51" spans="1:7" ht="15.75" hidden="1">
      <c r="A51" s="34" t="s">
        <v>64</v>
      </c>
      <c r="B51" s="34"/>
      <c r="C51" s="34"/>
      <c r="D51" s="34"/>
      <c r="E51" s="34"/>
      <c r="F51" s="34"/>
      <c r="G51" s="29"/>
    </row>
    <row r="52" spans="1:7" ht="15.75" hidden="1">
      <c r="A52" s="34" t="s">
        <v>65</v>
      </c>
      <c r="B52" s="34"/>
      <c r="C52" s="34"/>
      <c r="D52" s="34"/>
      <c r="E52" s="34"/>
      <c r="F52" s="34"/>
      <c r="G52" s="29"/>
    </row>
    <row r="53" spans="1:7" ht="18.75" customHeight="1">
      <c r="A53" s="33" t="s">
        <v>66</v>
      </c>
      <c r="B53" s="33"/>
      <c r="C53" s="33"/>
      <c r="D53" s="33"/>
      <c r="E53" s="33"/>
      <c r="F53" s="33"/>
      <c r="G53" s="32">
        <f>G39+G40+G41+G42+G43+G44+G45+G46+G47+G48+G49+G50+G51+G52</f>
        <v>10268</v>
      </c>
    </row>
    <row r="54" spans="1:7" ht="21" customHeight="1">
      <c r="A54" s="33" t="s">
        <v>67</v>
      </c>
      <c r="B54" s="33"/>
      <c r="C54" s="33"/>
      <c r="D54" s="33"/>
      <c r="E54" s="33"/>
      <c r="F54" s="33"/>
      <c r="G54" s="32">
        <f>G35+G53</f>
        <v>94249.06120434412</v>
      </c>
    </row>
    <row r="55" spans="1:7" ht="15.75">
      <c r="A55" s="28" t="s">
        <v>68</v>
      </c>
      <c r="B55" s="28"/>
      <c r="C55" s="28"/>
      <c r="D55" s="28"/>
      <c r="E55" s="28"/>
      <c r="F55" s="28"/>
      <c r="G55" s="29">
        <v>-3208.25</v>
      </c>
    </row>
    <row r="56" spans="1:7" ht="15.75">
      <c r="A56" s="41" t="s">
        <v>69</v>
      </c>
      <c r="B56" s="41"/>
      <c r="C56" s="41"/>
      <c r="D56" s="41"/>
      <c r="E56" s="41"/>
      <c r="F56" s="41"/>
      <c r="G56" s="29">
        <f>281.58*4+141.6*4+180*4</f>
        <v>2412.72</v>
      </c>
    </row>
    <row r="57" spans="1:7" ht="15.75" customHeight="1">
      <c r="A57" s="42" t="s">
        <v>70</v>
      </c>
      <c r="B57" s="42"/>
      <c r="C57" s="42"/>
      <c r="D57" s="42"/>
      <c r="E57" s="42"/>
      <c r="F57" s="42"/>
      <c r="G57" s="32">
        <f>B3*B5*4+G56</f>
        <v>106590.144</v>
      </c>
    </row>
    <row r="58" spans="1:7" ht="15.75" customHeight="1">
      <c r="A58" s="43" t="s">
        <v>71</v>
      </c>
      <c r="B58" s="43"/>
      <c r="C58" s="43"/>
      <c r="D58" s="43"/>
      <c r="E58" s="43"/>
      <c r="F58" s="43"/>
      <c r="G58" s="44">
        <v>17079.5</v>
      </c>
    </row>
    <row r="59" spans="1:7" ht="59.25" customHeight="1">
      <c r="A59" s="33" t="s">
        <v>80</v>
      </c>
      <c r="B59" s="33"/>
      <c r="C59" s="33"/>
      <c r="D59" s="33"/>
      <c r="E59" s="33"/>
      <c r="F59" s="33"/>
      <c r="G59" s="32">
        <f>G54-G57+G58-G55</f>
        <v>7946.667204344121</v>
      </c>
    </row>
  </sheetData>
  <sheetProtection selectLockedCells="1" selectUnlockedCells="1"/>
  <mergeCells count="48">
    <mergeCell ref="A1:G1"/>
    <mergeCell ref="B2:E2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G59"/>
  <sheetViews>
    <sheetView zoomScale="75" zoomScaleNormal="75" workbookViewId="0" topLeftCell="A18">
      <pane ySplit="65535" topLeftCell="A18" activePane="topLeft" state="split"/>
      <selection pane="topLeft" activeCell="G57" activeCellId="1" sqref="A77:G138 G57"/>
      <selection pane="bottomLeft" activeCell="A18" sqref="A18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4.28125" style="1" customWidth="1"/>
    <col min="8" max="16384" width="9.140625" style="1" customWidth="1"/>
  </cols>
  <sheetData>
    <row r="1" spans="1:7" ht="40.5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73</v>
      </c>
      <c r="B2" s="7" t="s">
        <v>74</v>
      </c>
      <c r="C2" s="7"/>
      <c r="D2" s="7"/>
      <c r="E2" s="7"/>
      <c r="F2" s="8" t="s">
        <v>3</v>
      </c>
      <c r="G2" s="9">
        <v>9</v>
      </c>
    </row>
    <row r="3" spans="1:7" ht="18.75">
      <c r="A3" s="6" t="s">
        <v>75</v>
      </c>
      <c r="B3" s="10">
        <v>4959</v>
      </c>
      <c r="F3" s="8" t="s">
        <v>5</v>
      </c>
      <c r="G3" s="11">
        <v>1</v>
      </c>
    </row>
    <row r="4" spans="1:7" ht="18.75" hidden="1">
      <c r="A4" s="12" t="s">
        <v>76</v>
      </c>
      <c r="B4" s="13">
        <f>B5-0.08</f>
        <v>11.92</v>
      </c>
      <c r="C4" s="1" t="s">
        <v>77</v>
      </c>
      <c r="F4" s="8" t="s">
        <v>8</v>
      </c>
      <c r="G4" s="9">
        <v>1990</v>
      </c>
    </row>
    <row r="5" spans="1:3" ht="16.5" customHeight="1">
      <c r="A5" s="12" t="s">
        <v>76</v>
      </c>
      <c r="B5" s="13">
        <v>12</v>
      </c>
      <c r="C5" s="1" t="s">
        <v>9</v>
      </c>
    </row>
    <row r="6" spans="1:7" ht="18.75" hidden="1">
      <c r="A6" s="14" t="s">
        <v>10</v>
      </c>
      <c r="B6" s="15">
        <v>887.7</v>
      </c>
      <c r="C6" s="16"/>
      <c r="D6" s="16"/>
      <c r="E6" s="16"/>
      <c r="F6" s="16"/>
      <c r="G6" s="16"/>
    </row>
    <row r="7" spans="1:7" ht="18.75" hidden="1">
      <c r="A7" s="14" t="s">
        <v>12</v>
      </c>
      <c r="B7" s="17">
        <v>0.9</v>
      </c>
      <c r="C7" s="16" t="s">
        <v>78</v>
      </c>
      <c r="D7" s="16">
        <v>1</v>
      </c>
      <c r="E7" s="16"/>
      <c r="F7" s="16"/>
      <c r="G7" s="16"/>
    </row>
    <row r="8" spans="1:7" ht="38.25" customHeight="1" hidden="1">
      <c r="A8" s="18" t="s">
        <v>13</v>
      </c>
      <c r="B8" s="19" t="s">
        <v>14</v>
      </c>
      <c r="C8" s="19" t="s">
        <v>15</v>
      </c>
      <c r="D8" s="19" t="s">
        <v>16</v>
      </c>
      <c r="E8" s="19" t="s">
        <v>17</v>
      </c>
      <c r="F8" s="16"/>
      <c r="G8" s="16"/>
    </row>
    <row r="9" spans="1:7" ht="20.25" customHeight="1" hidden="1">
      <c r="A9" s="14"/>
      <c r="B9" s="17">
        <v>1225</v>
      </c>
      <c r="C9" s="17">
        <v>1917</v>
      </c>
      <c r="D9" s="17">
        <v>933</v>
      </c>
      <c r="E9" s="17">
        <v>2209</v>
      </c>
      <c r="F9" s="16"/>
      <c r="G9" s="16"/>
    </row>
    <row r="10" spans="1:7" ht="18.75" hidden="1">
      <c r="A10" s="14" t="s">
        <v>18</v>
      </c>
      <c r="B10" s="20">
        <v>0</v>
      </c>
      <c r="C10" s="16" t="s">
        <v>79</v>
      </c>
      <c r="D10" s="16"/>
      <c r="E10" s="16"/>
      <c r="F10" s="16"/>
      <c r="G10" s="16"/>
    </row>
    <row r="11" spans="1:7" ht="19.5" hidden="1">
      <c r="A11" s="14" t="s">
        <v>19</v>
      </c>
      <c r="B11" s="20">
        <v>546.5</v>
      </c>
      <c r="C11" s="20">
        <v>452.3</v>
      </c>
      <c r="D11" s="20">
        <f>B11+C11</f>
        <v>998.8</v>
      </c>
      <c r="E11" s="16"/>
      <c r="F11" s="16"/>
      <c r="G11" s="16"/>
    </row>
    <row r="12" spans="1:7" ht="50.25" customHeight="1" hidden="1">
      <c r="A12" s="14" t="s">
        <v>20</v>
      </c>
      <c r="B12" s="19" t="s">
        <v>21</v>
      </c>
      <c r="C12" s="21" t="s">
        <v>22</v>
      </c>
      <c r="D12" s="19" t="s">
        <v>23</v>
      </c>
      <c r="E12" s="22" t="s">
        <v>24</v>
      </c>
      <c r="F12" s="17" t="s">
        <v>25</v>
      </c>
      <c r="G12" s="16"/>
    </row>
    <row r="13" spans="1:7" ht="23.25" customHeight="1" hidden="1">
      <c r="A13" s="23"/>
      <c r="B13" s="24">
        <v>108</v>
      </c>
      <c r="C13" s="24">
        <v>108</v>
      </c>
      <c r="D13" s="24"/>
      <c r="E13" s="25">
        <f>D13+C13+B13</f>
        <v>216</v>
      </c>
      <c r="F13" s="17"/>
      <c r="G13" s="16"/>
    </row>
    <row r="14" spans="1:7" ht="18.75" customHeight="1">
      <c r="A14" s="26" t="s">
        <v>26</v>
      </c>
      <c r="B14" s="26"/>
      <c r="C14" s="26"/>
      <c r="D14" s="26"/>
      <c r="E14" s="26"/>
      <c r="F14" s="26"/>
      <c r="G14" s="27" t="s">
        <v>27</v>
      </c>
    </row>
    <row r="15" spans="1:7" ht="15.75">
      <c r="A15" s="28" t="s">
        <v>28</v>
      </c>
      <c r="B15" s="28"/>
      <c r="C15" s="28"/>
      <c r="D15" s="28"/>
      <c r="E15" s="28"/>
      <c r="F15" s="28"/>
      <c r="G15" s="29">
        <f>B6*7.012*4</f>
        <v>24898.2096</v>
      </c>
    </row>
    <row r="16" spans="1:7" ht="15.75">
      <c r="A16" s="28" t="s">
        <v>29</v>
      </c>
      <c r="B16" s="28"/>
      <c r="C16" s="28"/>
      <c r="D16" s="28"/>
      <c r="E16" s="28"/>
      <c r="F16" s="28"/>
      <c r="G16" s="29">
        <f>B7*35.705*4</f>
        <v>128.538</v>
      </c>
    </row>
    <row r="17" spans="1:7" ht="15.75" hidden="1">
      <c r="A17" s="28" t="s">
        <v>30</v>
      </c>
      <c r="B17" s="28"/>
      <c r="C17" s="28"/>
      <c r="D17" s="28"/>
      <c r="E17" s="28"/>
      <c r="F17" s="28"/>
      <c r="G17" s="29">
        <f>B10*0.3613*12</f>
        <v>0</v>
      </c>
    </row>
    <row r="18" spans="1:7" ht="15.75">
      <c r="A18" s="28" t="s">
        <v>31</v>
      </c>
      <c r="B18" s="28"/>
      <c r="C18" s="28"/>
      <c r="D18" s="28"/>
      <c r="E18" s="28"/>
      <c r="F18" s="28"/>
      <c r="G18" s="29">
        <f>(B9*9.46/100*64)+(C9*7.09/100*38)+(D9*23.66/100*26)+(E9*1.77/100*5)</f>
        <v>18516.3607</v>
      </c>
    </row>
    <row r="19" spans="1:7" ht="15.75" customHeight="1">
      <c r="A19" s="30" t="s">
        <v>32</v>
      </c>
      <c r="B19" s="30"/>
      <c r="C19" s="30"/>
      <c r="D19" s="30"/>
      <c r="E19" s="30"/>
      <c r="F19" s="30"/>
      <c r="G19" s="31">
        <f>574906.73/199064.79*B3</f>
        <v>14321.78173784525</v>
      </c>
    </row>
    <row r="20" spans="1:7" ht="15.75">
      <c r="A20" s="28" t="s">
        <v>33</v>
      </c>
      <c r="B20" s="28"/>
      <c r="C20" s="28"/>
      <c r="D20" s="28"/>
      <c r="E20" s="28"/>
      <c r="F20" s="28"/>
      <c r="G20" s="29">
        <f>D11*0.14*2</f>
        <v>279.664</v>
      </c>
    </row>
    <row r="21" spans="1:7" ht="15.75" hidden="1">
      <c r="A21" s="28" t="s">
        <v>34</v>
      </c>
      <c r="B21" s="28"/>
      <c r="C21" s="28"/>
      <c r="D21" s="28"/>
      <c r="E21" s="28"/>
      <c r="F21" s="28"/>
      <c r="G21" s="29">
        <v>0</v>
      </c>
    </row>
    <row r="22" spans="1:7" ht="15.75">
      <c r="A22" s="28" t="s">
        <v>35</v>
      </c>
      <c r="B22" s="28"/>
      <c r="C22" s="28"/>
      <c r="D22" s="28"/>
      <c r="E22" s="28"/>
      <c r="F22" s="28"/>
      <c r="G22" s="29">
        <f>B3*0.845*4</f>
        <v>16761.42</v>
      </c>
    </row>
    <row r="23" spans="1:7" ht="15.75">
      <c r="A23" s="28" t="s">
        <v>36</v>
      </c>
      <c r="B23" s="28"/>
      <c r="C23" s="28"/>
      <c r="D23" s="28"/>
      <c r="E23" s="28"/>
      <c r="F23" s="28"/>
      <c r="G23" s="29">
        <f>B3*2.648*4</f>
        <v>52525.728</v>
      </c>
    </row>
    <row r="24" spans="1:7" ht="15.75" hidden="1">
      <c r="A24" s="28" t="s">
        <v>37</v>
      </c>
      <c r="B24" s="28"/>
      <c r="C24" s="28"/>
      <c r="D24" s="28"/>
      <c r="E24" s="28"/>
      <c r="F24" s="28"/>
      <c r="G24" s="29">
        <v>0</v>
      </c>
    </row>
    <row r="25" spans="1:7" ht="15.75">
      <c r="A25" s="28" t="s">
        <v>38</v>
      </c>
      <c r="B25" s="28"/>
      <c r="C25" s="28"/>
      <c r="D25" s="28"/>
      <c r="E25" s="28"/>
      <c r="F25" s="28"/>
      <c r="G25" s="29">
        <f>403*4</f>
        <v>1612</v>
      </c>
    </row>
    <row r="26" spans="1:7" ht="15.75">
      <c r="A26" s="28" t="s">
        <v>39</v>
      </c>
      <c r="B26" s="28"/>
      <c r="C26" s="28"/>
      <c r="D26" s="28"/>
      <c r="E26" s="28"/>
      <c r="F26" s="28"/>
      <c r="G26" s="29">
        <f>4*352+4*251.46</f>
        <v>2413.84</v>
      </c>
    </row>
    <row r="27" spans="1:7" ht="15.75" hidden="1">
      <c r="A27" s="28" t="s">
        <v>40</v>
      </c>
      <c r="B27" s="28"/>
      <c r="C27" s="28"/>
      <c r="D27" s="28"/>
      <c r="E27" s="28"/>
      <c r="F27" s="28"/>
      <c r="G27" s="29">
        <v>0</v>
      </c>
    </row>
    <row r="28" spans="1:7" ht="15.75" hidden="1">
      <c r="A28" s="28" t="s">
        <v>41</v>
      </c>
      <c r="B28" s="28"/>
      <c r="C28" s="28"/>
      <c r="D28" s="28"/>
      <c r="E28" s="28"/>
      <c r="F28" s="28"/>
      <c r="G28" s="29">
        <v>0</v>
      </c>
    </row>
    <row r="29" spans="1:7" ht="15.75" hidden="1">
      <c r="A29" s="28" t="s">
        <v>42</v>
      </c>
      <c r="B29" s="28"/>
      <c r="C29" s="28"/>
      <c r="D29" s="28"/>
      <c r="E29" s="28"/>
      <c r="F29" s="28"/>
      <c r="G29" s="29">
        <v>0</v>
      </c>
    </row>
    <row r="30" spans="1:7" ht="15.75">
      <c r="A30" s="28" t="s">
        <v>43</v>
      </c>
      <c r="B30" s="28"/>
      <c r="C30" s="28"/>
      <c r="D30" s="28"/>
      <c r="E30" s="28"/>
      <c r="F30" s="28"/>
      <c r="G30" s="29">
        <f>B3*1.75*4</f>
        <v>34713</v>
      </c>
    </row>
    <row r="31" spans="1:7" ht="15.75" customHeight="1">
      <c r="A31" s="30" t="s">
        <v>44</v>
      </c>
      <c r="B31" s="30"/>
      <c r="C31" s="30"/>
      <c r="D31" s="30"/>
      <c r="E31" s="30"/>
      <c r="F31" s="30"/>
      <c r="G31" s="29">
        <f>(F13*4*8.57)+(B13*2*3.14)+(C13*1*3.14)+(D13*1*3.14)</f>
        <v>1017.36</v>
      </c>
    </row>
    <row r="32" spans="1:7" ht="15.75">
      <c r="A32" s="28" t="s">
        <v>45</v>
      </c>
      <c r="B32" s="28"/>
      <c r="C32" s="28"/>
      <c r="D32" s="28"/>
      <c r="E32" s="28"/>
      <c r="F32" s="28"/>
      <c r="G32" s="29">
        <f>B3*0.65*4</f>
        <v>12893.4</v>
      </c>
    </row>
    <row r="33" spans="1:7" ht="15.75">
      <c r="A33" s="28" t="s">
        <v>46</v>
      </c>
      <c r="B33" s="28"/>
      <c r="C33" s="28"/>
      <c r="D33" s="28"/>
      <c r="E33" s="28"/>
      <c r="F33" s="28"/>
      <c r="G33" s="29">
        <f>B3*0.2*4</f>
        <v>3967.2000000000003</v>
      </c>
    </row>
    <row r="34" spans="1:7" ht="15.75">
      <c r="A34" s="28" t="s">
        <v>47</v>
      </c>
      <c r="B34" s="28"/>
      <c r="C34" s="28"/>
      <c r="D34" s="28"/>
      <c r="E34" s="28"/>
      <c r="F34" s="28"/>
      <c r="G34" s="29">
        <f>B3*0.7*4</f>
        <v>13885.199999999999</v>
      </c>
    </row>
    <row r="35" spans="1:7" ht="15.75">
      <c r="A35" s="26" t="s">
        <v>48</v>
      </c>
      <c r="B35" s="26"/>
      <c r="C35" s="26"/>
      <c r="D35" s="26"/>
      <c r="E35" s="26"/>
      <c r="F35" s="26"/>
      <c r="G35" s="32">
        <f>G15+G16+G17+G18+G19+G20+G21+G22+G23+G24+G26+G30+G31+G32+G33+G34+G27+G28+G29+G25</f>
        <v>197933.70203784524</v>
      </c>
    </row>
    <row r="36" spans="1:7" ht="20.25" customHeight="1">
      <c r="A36" s="33" t="s">
        <v>49</v>
      </c>
      <c r="B36" s="33"/>
      <c r="C36" s="33"/>
      <c r="D36" s="33"/>
      <c r="E36" s="33"/>
      <c r="F36" s="33"/>
      <c r="G36" s="29"/>
    </row>
    <row r="37" spans="1:7" ht="15.75" hidden="1">
      <c r="A37" s="28" t="s">
        <v>50</v>
      </c>
      <c r="B37" s="28"/>
      <c r="C37" s="28"/>
      <c r="D37" s="28"/>
      <c r="E37" s="28"/>
      <c r="F37" s="28"/>
      <c r="G37" s="29"/>
    </row>
    <row r="38" spans="1:7" ht="15.75">
      <c r="A38" s="28" t="s">
        <v>51</v>
      </c>
      <c r="B38" s="28"/>
      <c r="C38" s="28"/>
      <c r="D38" s="28"/>
      <c r="E38" s="28"/>
      <c r="F38" s="28"/>
      <c r="G38" s="29"/>
    </row>
    <row r="39" spans="1:7" ht="15.75" hidden="1">
      <c r="A39" s="34" t="s">
        <v>52</v>
      </c>
      <c r="B39" s="34"/>
      <c r="C39" s="34"/>
      <c r="D39" s="34"/>
      <c r="E39" s="34"/>
      <c r="F39" s="34"/>
      <c r="G39" s="29"/>
    </row>
    <row r="40" spans="1:7" ht="15.75">
      <c r="A40" s="34" t="s">
        <v>53</v>
      </c>
      <c r="B40" s="34"/>
      <c r="C40" s="34"/>
      <c r="D40" s="34"/>
      <c r="E40" s="34"/>
      <c r="F40" s="34"/>
      <c r="G40" s="29">
        <v>1590</v>
      </c>
    </row>
    <row r="41" spans="1:7" ht="15.75" hidden="1">
      <c r="A41" s="34" t="s">
        <v>54</v>
      </c>
      <c r="B41" s="34"/>
      <c r="C41" s="34"/>
      <c r="D41" s="34"/>
      <c r="E41" s="34"/>
      <c r="F41" s="34"/>
      <c r="G41" s="29"/>
    </row>
    <row r="42" spans="1:7" ht="15.75">
      <c r="A42" s="34" t="s">
        <v>55</v>
      </c>
      <c r="B42" s="34"/>
      <c r="C42" s="34"/>
      <c r="D42" s="34"/>
      <c r="E42" s="34"/>
      <c r="F42" s="34"/>
      <c r="G42" s="29">
        <v>5480</v>
      </c>
    </row>
    <row r="43" spans="1:7" ht="15.75">
      <c r="A43" s="34" t="s">
        <v>56</v>
      </c>
      <c r="B43" s="34"/>
      <c r="C43" s="34"/>
      <c r="D43" s="34"/>
      <c r="E43" s="34"/>
      <c r="F43" s="34"/>
      <c r="G43" s="29">
        <v>41070</v>
      </c>
    </row>
    <row r="44" spans="1:7" ht="15.75" hidden="1">
      <c r="A44" s="34" t="s">
        <v>57</v>
      </c>
      <c r="B44" s="34"/>
      <c r="C44" s="34"/>
      <c r="D44" s="34"/>
      <c r="E44" s="34"/>
      <c r="F44" s="34"/>
      <c r="G44" s="29"/>
    </row>
    <row r="45" spans="1:7" ht="15.75">
      <c r="A45" s="34" t="s">
        <v>58</v>
      </c>
      <c r="B45" s="34"/>
      <c r="C45" s="34"/>
      <c r="D45" s="34"/>
      <c r="E45" s="34"/>
      <c r="F45" s="34"/>
      <c r="G45" s="29">
        <v>337</v>
      </c>
    </row>
    <row r="46" spans="1:7" ht="15.75">
      <c r="A46" s="34" t="s">
        <v>59</v>
      </c>
      <c r="B46" s="34"/>
      <c r="C46" s="34"/>
      <c r="D46" s="34"/>
      <c r="E46" s="34"/>
      <c r="F46" s="34"/>
      <c r="G46" s="29">
        <v>1890</v>
      </c>
    </row>
    <row r="47" spans="1:7" ht="15.75" hidden="1">
      <c r="A47" s="34" t="s">
        <v>60</v>
      </c>
      <c r="B47" s="34"/>
      <c r="C47" s="34"/>
      <c r="D47" s="34"/>
      <c r="E47" s="34"/>
      <c r="F47" s="34"/>
      <c r="G47" s="29"/>
    </row>
    <row r="48" spans="1:7" ht="15.75" hidden="1">
      <c r="A48" s="34" t="s">
        <v>61</v>
      </c>
      <c r="B48" s="34"/>
      <c r="C48" s="34"/>
      <c r="D48" s="34"/>
      <c r="E48" s="34"/>
      <c r="F48" s="34"/>
      <c r="G48" s="29"/>
    </row>
    <row r="49" spans="1:7" ht="15.75">
      <c r="A49" s="34" t="s">
        <v>62</v>
      </c>
      <c r="B49" s="34"/>
      <c r="C49" s="34"/>
      <c r="D49" s="34"/>
      <c r="E49" s="34"/>
      <c r="F49" s="34"/>
      <c r="G49" s="29">
        <v>2120</v>
      </c>
    </row>
    <row r="50" spans="1:7" ht="15.75">
      <c r="A50" s="34" t="s">
        <v>63</v>
      </c>
      <c r="B50" s="34"/>
      <c r="C50" s="34"/>
      <c r="D50" s="34"/>
      <c r="E50" s="34"/>
      <c r="F50" s="34"/>
      <c r="G50" s="29">
        <v>8790</v>
      </c>
    </row>
    <row r="51" spans="1:7" ht="15.75" hidden="1">
      <c r="A51" s="34" t="s">
        <v>64</v>
      </c>
      <c r="B51" s="34"/>
      <c r="C51" s="34"/>
      <c r="D51" s="34"/>
      <c r="E51" s="34"/>
      <c r="F51" s="34"/>
      <c r="G51" s="29"/>
    </row>
    <row r="52" spans="1:7" ht="15.75" hidden="1">
      <c r="A52" s="34" t="s">
        <v>65</v>
      </c>
      <c r="B52" s="34"/>
      <c r="C52" s="34"/>
      <c r="D52" s="34"/>
      <c r="E52" s="34"/>
      <c r="F52" s="34"/>
      <c r="G52" s="29"/>
    </row>
    <row r="53" spans="1:7" ht="18.75" customHeight="1">
      <c r="A53" s="33" t="s">
        <v>66</v>
      </c>
      <c r="B53" s="33"/>
      <c r="C53" s="33"/>
      <c r="D53" s="33"/>
      <c r="E53" s="33"/>
      <c r="F53" s="33"/>
      <c r="G53" s="32">
        <f>G39+G40+G41+G42+G43+G44+G45+G46+G47+G48+G49+G50+G51+G52</f>
        <v>61277</v>
      </c>
    </row>
    <row r="54" spans="1:7" ht="21" customHeight="1">
      <c r="A54" s="33" t="s">
        <v>67</v>
      </c>
      <c r="B54" s="33"/>
      <c r="C54" s="33"/>
      <c r="D54" s="33"/>
      <c r="E54" s="33"/>
      <c r="F54" s="33"/>
      <c r="G54" s="32">
        <f>G35+G53</f>
        <v>259210.70203784524</v>
      </c>
    </row>
    <row r="55" spans="1:7" ht="15.75" hidden="1">
      <c r="A55" s="28" t="s">
        <v>68</v>
      </c>
      <c r="B55" s="28"/>
      <c r="C55" s="28"/>
      <c r="D55" s="28"/>
      <c r="E55" s="28"/>
      <c r="F55" s="28"/>
      <c r="G55" s="29"/>
    </row>
    <row r="56" spans="1:7" ht="15.75" hidden="1">
      <c r="A56" s="41" t="s">
        <v>69</v>
      </c>
      <c r="B56" s="41"/>
      <c r="C56" s="41"/>
      <c r="D56" s="41"/>
      <c r="E56" s="41"/>
      <c r="F56" s="41"/>
      <c r="G56" s="29">
        <v>0</v>
      </c>
    </row>
    <row r="57" spans="1:7" ht="15.75" customHeight="1">
      <c r="A57" s="42" t="s">
        <v>70</v>
      </c>
      <c r="B57" s="42"/>
      <c r="C57" s="42"/>
      <c r="D57" s="42"/>
      <c r="E57" s="42"/>
      <c r="F57" s="42"/>
      <c r="G57" s="32">
        <f>B3*B5*4</f>
        <v>238032</v>
      </c>
    </row>
    <row r="58" spans="1:7" ht="15.75" customHeight="1">
      <c r="A58" s="43" t="s">
        <v>71</v>
      </c>
      <c r="B58" s="43"/>
      <c r="C58" s="43"/>
      <c r="D58" s="43"/>
      <c r="E58" s="43"/>
      <c r="F58" s="43"/>
      <c r="G58" s="44">
        <v>34218.84</v>
      </c>
    </row>
    <row r="59" spans="1:7" ht="70.5" customHeight="1">
      <c r="A59" s="33" t="s">
        <v>80</v>
      </c>
      <c r="B59" s="33"/>
      <c r="C59" s="33"/>
      <c r="D59" s="33"/>
      <c r="E59" s="33"/>
      <c r="F59" s="33"/>
      <c r="G59" s="32">
        <f>G54-G57+G58-G55</f>
        <v>55397.54203784524</v>
      </c>
    </row>
  </sheetData>
  <sheetProtection selectLockedCells="1" selectUnlockedCells="1"/>
  <mergeCells count="48">
    <mergeCell ref="A1:G1"/>
    <mergeCell ref="B2:E2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0"/>
  </sheetPr>
  <dimension ref="A1:G59"/>
  <sheetViews>
    <sheetView zoomScale="75" zoomScaleNormal="75" workbookViewId="0" topLeftCell="A2">
      <pane ySplit="65535" topLeftCell="A2" activePane="topLeft" state="split"/>
      <selection pane="topLeft" activeCell="G58" activeCellId="1" sqref="A77:G138 G58"/>
      <selection pane="bottomLeft" activeCell="A2" sqref="A2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6.7109375" style="1" customWidth="1"/>
    <col min="8" max="16384" width="9.140625" style="1" customWidth="1"/>
  </cols>
  <sheetData>
    <row r="1" spans="1:7" ht="20.25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73</v>
      </c>
      <c r="B2" s="7" t="s">
        <v>103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75</v>
      </c>
      <c r="B3" s="10">
        <v>3425.2</v>
      </c>
      <c r="F3" s="8" t="s">
        <v>5</v>
      </c>
      <c r="G3" s="11">
        <v>4</v>
      </c>
    </row>
    <row r="4" spans="1:7" ht="18.75">
      <c r="A4" s="12" t="s">
        <v>76</v>
      </c>
      <c r="B4" s="13"/>
      <c r="F4" s="8" t="s">
        <v>8</v>
      </c>
      <c r="G4" s="9">
        <v>1964</v>
      </c>
    </row>
    <row r="5" spans="1:3" ht="16.5" customHeight="1">
      <c r="A5" s="12" t="s">
        <v>76</v>
      </c>
      <c r="B5" s="13">
        <v>9.49</v>
      </c>
      <c r="C5" s="1" t="s">
        <v>9</v>
      </c>
    </row>
    <row r="6" spans="1:7" ht="18.75" hidden="1">
      <c r="A6" s="14" t="s">
        <v>10</v>
      </c>
      <c r="B6" s="15">
        <v>246</v>
      </c>
      <c r="C6" s="16"/>
      <c r="D6" s="16"/>
      <c r="E6" s="16"/>
      <c r="F6" s="16"/>
      <c r="G6" s="16"/>
    </row>
    <row r="7" spans="1:7" ht="18.75" hidden="1">
      <c r="A7" s="14" t="s">
        <v>12</v>
      </c>
      <c r="B7" s="17">
        <v>0</v>
      </c>
      <c r="C7" s="16"/>
      <c r="D7" s="16"/>
      <c r="E7" s="16"/>
      <c r="F7" s="16"/>
      <c r="G7" s="16"/>
    </row>
    <row r="8" spans="1:7" ht="38.25" customHeight="1" hidden="1">
      <c r="A8" s="18" t="s">
        <v>13</v>
      </c>
      <c r="B8" s="19" t="s">
        <v>14</v>
      </c>
      <c r="C8" s="19" t="s">
        <v>15</v>
      </c>
      <c r="D8" s="19" t="s">
        <v>16</v>
      </c>
      <c r="E8" s="19" t="s">
        <v>17</v>
      </c>
      <c r="F8" s="16"/>
      <c r="G8" s="16"/>
    </row>
    <row r="9" spans="1:7" ht="20.25" customHeight="1" hidden="1">
      <c r="A9" s="14"/>
      <c r="B9" s="17">
        <v>612</v>
      </c>
      <c r="C9" s="17">
        <v>3017</v>
      </c>
      <c r="D9" s="17">
        <v>612</v>
      </c>
      <c r="E9" s="17">
        <v>3017</v>
      </c>
      <c r="F9" s="16"/>
      <c r="G9" s="16"/>
    </row>
    <row r="10" spans="1:7" ht="18.75" hidden="1">
      <c r="A10" s="14" t="s">
        <v>18</v>
      </c>
      <c r="B10" s="20">
        <v>0</v>
      </c>
      <c r="C10" s="16"/>
      <c r="D10" s="16"/>
      <c r="E10" s="16"/>
      <c r="F10" s="16"/>
      <c r="G10" s="16"/>
    </row>
    <row r="11" spans="1:7" ht="19.5" hidden="1">
      <c r="A11" s="14" t="s">
        <v>19</v>
      </c>
      <c r="B11" s="20">
        <v>610</v>
      </c>
      <c r="C11" s="20">
        <v>635.8</v>
      </c>
      <c r="D11" s="20">
        <f>B11+C11</f>
        <v>1245.8</v>
      </c>
      <c r="E11" s="16"/>
      <c r="F11" s="16"/>
      <c r="G11" s="16"/>
    </row>
    <row r="12" spans="1:7" ht="50.25" customHeight="1" hidden="1">
      <c r="A12" s="14" t="s">
        <v>20</v>
      </c>
      <c r="B12" s="19" t="s">
        <v>21</v>
      </c>
      <c r="C12" s="21" t="s">
        <v>22</v>
      </c>
      <c r="D12" s="19" t="s">
        <v>23</v>
      </c>
      <c r="E12" s="22" t="s">
        <v>24</v>
      </c>
      <c r="F12" s="17" t="s">
        <v>25</v>
      </c>
      <c r="G12" s="16"/>
    </row>
    <row r="13" spans="1:7" ht="23.25" customHeight="1" hidden="1">
      <c r="A13" s="23"/>
      <c r="B13" s="24">
        <v>80</v>
      </c>
      <c r="C13" s="24">
        <v>80</v>
      </c>
      <c r="D13" s="24"/>
      <c r="E13" s="25">
        <f>D13+C13+B13</f>
        <v>160</v>
      </c>
      <c r="F13" s="21">
        <v>80</v>
      </c>
      <c r="G13" s="16"/>
    </row>
    <row r="14" spans="1:7" ht="18.75" customHeight="1">
      <c r="A14" s="26" t="s">
        <v>26</v>
      </c>
      <c r="B14" s="26"/>
      <c r="C14" s="26"/>
      <c r="D14" s="26"/>
      <c r="E14" s="26"/>
      <c r="F14" s="26"/>
      <c r="G14" s="27" t="s">
        <v>27</v>
      </c>
    </row>
    <row r="15" spans="1:7" ht="15.75">
      <c r="A15" s="28" t="s">
        <v>28</v>
      </c>
      <c r="B15" s="28"/>
      <c r="C15" s="28"/>
      <c r="D15" s="28"/>
      <c r="E15" s="28"/>
      <c r="F15" s="28"/>
      <c r="G15" s="29">
        <f>B6*7.012*4</f>
        <v>6899.808</v>
      </c>
    </row>
    <row r="16" spans="1:7" ht="15.75" hidden="1">
      <c r="A16" s="28" t="s">
        <v>29</v>
      </c>
      <c r="B16" s="28"/>
      <c r="C16" s="28"/>
      <c r="D16" s="28"/>
      <c r="E16" s="28"/>
      <c r="F16" s="28"/>
      <c r="G16" s="29">
        <f>B7*35.705*12</f>
        <v>0</v>
      </c>
    </row>
    <row r="17" spans="1:7" ht="15.75" hidden="1">
      <c r="A17" s="28" t="s">
        <v>30</v>
      </c>
      <c r="B17" s="28"/>
      <c r="C17" s="28"/>
      <c r="D17" s="28"/>
      <c r="E17" s="28"/>
      <c r="F17" s="28"/>
      <c r="G17" s="29">
        <f>B10*0.3613*12</f>
        <v>0</v>
      </c>
    </row>
    <row r="18" spans="1:7" ht="15.75">
      <c r="A18" s="28" t="s">
        <v>31</v>
      </c>
      <c r="B18" s="28"/>
      <c r="C18" s="28"/>
      <c r="D18" s="28"/>
      <c r="E18" s="28"/>
      <c r="F18" s="28"/>
      <c r="G18" s="29">
        <f>(B9*9.46/100*64)+(C9*7.09/100*38)+(D9*23.66/100*26)+(E9*1.77/100*5)</f>
        <v>15865.477900000002</v>
      </c>
    </row>
    <row r="19" spans="1:7" ht="15.75" customHeight="1">
      <c r="A19" s="30" t="s">
        <v>32</v>
      </c>
      <c r="B19" s="30"/>
      <c r="C19" s="30"/>
      <c r="D19" s="30"/>
      <c r="E19" s="30"/>
      <c r="F19" s="30"/>
      <c r="G19" s="31">
        <f>574906.73/199064.79*B3</f>
        <v>9892.1086526452</v>
      </c>
    </row>
    <row r="20" spans="1:7" ht="15.75">
      <c r="A20" s="28" t="s">
        <v>33</v>
      </c>
      <c r="B20" s="28"/>
      <c r="C20" s="28"/>
      <c r="D20" s="28"/>
      <c r="E20" s="28"/>
      <c r="F20" s="28"/>
      <c r="G20" s="29">
        <f>D11*0.14*2</f>
        <v>348.824</v>
      </c>
    </row>
    <row r="21" spans="1:7" ht="15.75">
      <c r="A21" s="28" t="s">
        <v>34</v>
      </c>
      <c r="B21" s="28"/>
      <c r="C21" s="28"/>
      <c r="D21" s="28"/>
      <c r="E21" s="28"/>
      <c r="F21" s="28"/>
      <c r="G21" s="29">
        <f>95.95+4078.08+4078.08+1055.39+4413.39</f>
        <v>13720.89</v>
      </c>
    </row>
    <row r="22" spans="1:7" ht="15.75">
      <c r="A22" s="28" t="s">
        <v>35</v>
      </c>
      <c r="B22" s="28"/>
      <c r="C22" s="28"/>
      <c r="D22" s="28"/>
      <c r="E22" s="28"/>
      <c r="F22" s="28"/>
      <c r="G22" s="29">
        <f>B3*0.845*4</f>
        <v>11577.176</v>
      </c>
    </row>
    <row r="23" spans="1:7" ht="15.75" hidden="1">
      <c r="A23" s="28" t="s">
        <v>36</v>
      </c>
      <c r="B23" s="28"/>
      <c r="C23" s="28"/>
      <c r="D23" s="28"/>
      <c r="E23" s="28"/>
      <c r="F23" s="28"/>
      <c r="G23" s="29">
        <v>0</v>
      </c>
    </row>
    <row r="24" spans="1:7" ht="15.75" hidden="1">
      <c r="A24" s="28" t="s">
        <v>37</v>
      </c>
      <c r="B24" s="28"/>
      <c r="C24" s="28"/>
      <c r="D24" s="28"/>
      <c r="E24" s="28"/>
      <c r="F24" s="28"/>
      <c r="G24" s="29">
        <v>0</v>
      </c>
    </row>
    <row r="25" spans="1:7" ht="15.75" hidden="1">
      <c r="A25" s="28" t="s">
        <v>38</v>
      </c>
      <c r="B25" s="28"/>
      <c r="C25" s="28"/>
      <c r="D25" s="28"/>
      <c r="E25" s="28"/>
      <c r="F25" s="28"/>
      <c r="G25" s="29">
        <v>0</v>
      </c>
    </row>
    <row r="26" spans="1:7" ht="15.75">
      <c r="A26" s="28" t="s">
        <v>39</v>
      </c>
      <c r="B26" s="28"/>
      <c r="C26" s="28"/>
      <c r="D26" s="28"/>
      <c r="E26" s="28"/>
      <c r="F26" s="28"/>
      <c r="G26" s="29">
        <f>3*352+4*251.46</f>
        <v>2061.84</v>
      </c>
    </row>
    <row r="27" spans="1:7" ht="15.75" hidden="1">
      <c r="A27" s="28" t="s">
        <v>40</v>
      </c>
      <c r="B27" s="28"/>
      <c r="C27" s="28"/>
      <c r="D27" s="28"/>
      <c r="E27" s="28"/>
      <c r="F27" s="28"/>
      <c r="G27" s="29">
        <v>0</v>
      </c>
    </row>
    <row r="28" spans="1:7" ht="15.75" hidden="1">
      <c r="A28" s="28" t="s">
        <v>41</v>
      </c>
      <c r="B28" s="28"/>
      <c r="C28" s="28"/>
      <c r="D28" s="28"/>
      <c r="E28" s="28"/>
      <c r="F28" s="28"/>
      <c r="G28" s="29">
        <v>0</v>
      </c>
    </row>
    <row r="29" spans="1:7" ht="15.75" hidden="1">
      <c r="A29" s="28" t="s">
        <v>42</v>
      </c>
      <c r="B29" s="28"/>
      <c r="C29" s="28"/>
      <c r="D29" s="28"/>
      <c r="E29" s="28"/>
      <c r="F29" s="28"/>
      <c r="G29" s="29">
        <v>0</v>
      </c>
    </row>
    <row r="30" spans="1:7" ht="15.75">
      <c r="A30" s="28" t="s">
        <v>43</v>
      </c>
      <c r="B30" s="28"/>
      <c r="C30" s="28"/>
      <c r="D30" s="28"/>
      <c r="E30" s="28"/>
      <c r="F30" s="28"/>
      <c r="G30" s="29">
        <f>B3*1.75*4</f>
        <v>23976.399999999998</v>
      </c>
    </row>
    <row r="31" spans="1:7" ht="15.75" customHeight="1">
      <c r="A31" s="30" t="s">
        <v>44</v>
      </c>
      <c r="B31" s="30"/>
      <c r="C31" s="30"/>
      <c r="D31" s="30"/>
      <c r="E31" s="30"/>
      <c r="F31" s="30"/>
      <c r="G31" s="29">
        <f>(F13*4*8.57)+(B13*2*3.14)+(C13*1*3.14)+(D13*1*3.14)</f>
        <v>3496</v>
      </c>
    </row>
    <row r="32" spans="1:7" ht="15.75">
      <c r="A32" s="28" t="s">
        <v>45</v>
      </c>
      <c r="B32" s="28"/>
      <c r="C32" s="28"/>
      <c r="D32" s="28"/>
      <c r="E32" s="28"/>
      <c r="F32" s="28"/>
      <c r="G32" s="29">
        <f>B3*0.65*4</f>
        <v>8905.52</v>
      </c>
    </row>
    <row r="33" spans="1:7" ht="15.75">
      <c r="A33" s="28" t="s">
        <v>46</v>
      </c>
      <c r="B33" s="28"/>
      <c r="C33" s="28"/>
      <c r="D33" s="28"/>
      <c r="E33" s="28"/>
      <c r="F33" s="28"/>
      <c r="G33" s="29">
        <f>B3*0.2*4</f>
        <v>2740.16</v>
      </c>
    </row>
    <row r="34" spans="1:7" ht="15.75">
      <c r="A34" s="28" t="s">
        <v>47</v>
      </c>
      <c r="B34" s="28"/>
      <c r="C34" s="28"/>
      <c r="D34" s="28"/>
      <c r="E34" s="28"/>
      <c r="F34" s="28"/>
      <c r="G34" s="29">
        <f>B3*0.7*4</f>
        <v>9590.56</v>
      </c>
    </row>
    <row r="35" spans="1:7" ht="15.75">
      <c r="A35" s="26" t="s">
        <v>48</v>
      </c>
      <c r="B35" s="26"/>
      <c r="C35" s="26"/>
      <c r="D35" s="26"/>
      <c r="E35" s="26"/>
      <c r="F35" s="26"/>
      <c r="G35" s="32">
        <f>G15+G16+G17+G18+G19+G20+G21+G22+G23+G24+G26+G30+G31+G32+G33+G34+G27+G28+G29+G25</f>
        <v>109074.7645526452</v>
      </c>
    </row>
    <row r="36" spans="1:7" ht="20.25" customHeight="1">
      <c r="A36" s="33" t="s">
        <v>49</v>
      </c>
      <c r="B36" s="33"/>
      <c r="C36" s="33"/>
      <c r="D36" s="33"/>
      <c r="E36" s="33"/>
      <c r="F36" s="33"/>
      <c r="G36" s="29"/>
    </row>
    <row r="37" spans="1:7" ht="15.75" hidden="1">
      <c r="A37" s="28" t="s">
        <v>50</v>
      </c>
      <c r="B37" s="28"/>
      <c r="C37" s="28"/>
      <c r="D37" s="28"/>
      <c r="E37" s="28"/>
      <c r="F37" s="28"/>
      <c r="G37" s="29"/>
    </row>
    <row r="38" spans="1:7" ht="15.75">
      <c r="A38" s="28" t="s">
        <v>51</v>
      </c>
      <c r="B38" s="28"/>
      <c r="C38" s="28"/>
      <c r="D38" s="28"/>
      <c r="E38" s="28"/>
      <c r="F38" s="28"/>
      <c r="G38" s="29"/>
    </row>
    <row r="39" spans="1:7" ht="15.75" hidden="1">
      <c r="A39" s="34" t="s">
        <v>52</v>
      </c>
      <c r="B39" s="34"/>
      <c r="C39" s="34"/>
      <c r="D39" s="34"/>
      <c r="E39" s="34"/>
      <c r="F39" s="34"/>
      <c r="G39" s="29"/>
    </row>
    <row r="40" spans="1:7" ht="15.75" hidden="1">
      <c r="A40" s="34" t="s">
        <v>53</v>
      </c>
      <c r="B40" s="34"/>
      <c r="C40" s="34"/>
      <c r="D40" s="34"/>
      <c r="E40" s="34"/>
      <c r="F40" s="34"/>
      <c r="G40" s="29"/>
    </row>
    <row r="41" spans="1:7" ht="15.75" hidden="1">
      <c r="A41" s="34" t="s">
        <v>54</v>
      </c>
      <c r="B41" s="34"/>
      <c r="C41" s="34"/>
      <c r="D41" s="34"/>
      <c r="E41" s="34"/>
      <c r="F41" s="34"/>
      <c r="G41" s="29"/>
    </row>
    <row r="42" spans="1:7" ht="15.75" hidden="1">
      <c r="A42" s="34" t="s">
        <v>55</v>
      </c>
      <c r="B42" s="34"/>
      <c r="C42" s="34"/>
      <c r="D42" s="34"/>
      <c r="E42" s="34"/>
      <c r="F42" s="34"/>
      <c r="G42" s="29"/>
    </row>
    <row r="43" spans="1:7" ht="15.75" hidden="1">
      <c r="A43" s="34" t="s">
        <v>56</v>
      </c>
      <c r="B43" s="34"/>
      <c r="C43" s="34"/>
      <c r="D43" s="34"/>
      <c r="E43" s="34"/>
      <c r="F43" s="34"/>
      <c r="G43" s="29"/>
    </row>
    <row r="44" spans="1:7" ht="15.75" hidden="1">
      <c r="A44" s="34" t="s">
        <v>57</v>
      </c>
      <c r="B44" s="34"/>
      <c r="C44" s="34"/>
      <c r="D44" s="34"/>
      <c r="E44" s="34"/>
      <c r="F44" s="34"/>
      <c r="G44" s="29"/>
    </row>
    <row r="45" spans="1:7" ht="15.75">
      <c r="A45" s="34" t="s">
        <v>58</v>
      </c>
      <c r="B45" s="34"/>
      <c r="C45" s="34"/>
      <c r="D45" s="34"/>
      <c r="E45" s="34"/>
      <c r="F45" s="34"/>
      <c r="G45" s="29">
        <v>168</v>
      </c>
    </row>
    <row r="46" spans="1:7" ht="15.75" hidden="1">
      <c r="A46" s="34" t="s">
        <v>59</v>
      </c>
      <c r="B46" s="34"/>
      <c r="C46" s="34"/>
      <c r="D46" s="34"/>
      <c r="E46" s="34"/>
      <c r="F46" s="34"/>
      <c r="G46" s="29"/>
    </row>
    <row r="47" spans="1:7" ht="15.75" hidden="1">
      <c r="A47" s="34" t="s">
        <v>60</v>
      </c>
      <c r="B47" s="34"/>
      <c r="C47" s="34"/>
      <c r="D47" s="34"/>
      <c r="E47" s="34"/>
      <c r="F47" s="34"/>
      <c r="G47" s="29"/>
    </row>
    <row r="48" spans="1:7" ht="15.75" hidden="1">
      <c r="A48" s="34" t="s">
        <v>61</v>
      </c>
      <c r="B48" s="34"/>
      <c r="C48" s="34"/>
      <c r="D48" s="34"/>
      <c r="E48" s="34"/>
      <c r="F48" s="34"/>
      <c r="G48" s="29"/>
    </row>
    <row r="49" spans="1:7" ht="15.75" hidden="1">
      <c r="A49" s="34" t="s">
        <v>62</v>
      </c>
      <c r="B49" s="34"/>
      <c r="C49" s="34"/>
      <c r="D49" s="34"/>
      <c r="E49" s="34"/>
      <c r="F49" s="34"/>
      <c r="G49" s="29"/>
    </row>
    <row r="50" spans="1:7" ht="15.75">
      <c r="A50" s="34" t="s">
        <v>63</v>
      </c>
      <c r="B50" s="34"/>
      <c r="C50" s="34"/>
      <c r="D50" s="34"/>
      <c r="E50" s="34"/>
      <c r="F50" s="34"/>
      <c r="G50" s="29">
        <v>3270</v>
      </c>
    </row>
    <row r="51" spans="1:7" ht="15.75" hidden="1">
      <c r="A51" s="34" t="s">
        <v>64</v>
      </c>
      <c r="B51" s="34"/>
      <c r="C51" s="34"/>
      <c r="D51" s="34"/>
      <c r="E51" s="34"/>
      <c r="F51" s="34"/>
      <c r="G51" s="29"/>
    </row>
    <row r="52" spans="1:7" ht="15.75" hidden="1">
      <c r="A52" s="34" t="s">
        <v>65</v>
      </c>
      <c r="B52" s="34"/>
      <c r="C52" s="34"/>
      <c r="D52" s="34"/>
      <c r="E52" s="34"/>
      <c r="F52" s="34"/>
      <c r="G52" s="29"/>
    </row>
    <row r="53" spans="1:7" ht="18.75" customHeight="1">
      <c r="A53" s="33" t="s">
        <v>66</v>
      </c>
      <c r="B53" s="33"/>
      <c r="C53" s="33"/>
      <c r="D53" s="33"/>
      <c r="E53" s="33"/>
      <c r="F53" s="33"/>
      <c r="G53" s="32">
        <f>G39+G40+G41+G42+G43+G44+G45+G46+G47+G48+G49+G50+G51+G52</f>
        <v>3438</v>
      </c>
    </row>
    <row r="54" spans="1:7" ht="21" customHeight="1">
      <c r="A54" s="33" t="s">
        <v>67</v>
      </c>
      <c r="B54" s="33"/>
      <c r="C54" s="33"/>
      <c r="D54" s="33"/>
      <c r="E54" s="33"/>
      <c r="F54" s="33"/>
      <c r="G54" s="32">
        <f>G35+G53</f>
        <v>112512.7645526452</v>
      </c>
    </row>
    <row r="55" spans="1:7" ht="15.75">
      <c r="A55" s="28" t="s">
        <v>68</v>
      </c>
      <c r="B55" s="28"/>
      <c r="C55" s="28"/>
      <c r="D55" s="28"/>
      <c r="E55" s="28"/>
      <c r="F55" s="28"/>
      <c r="G55" s="29">
        <v>-12218.65</v>
      </c>
    </row>
    <row r="56" spans="1:7" ht="15.75">
      <c r="A56" s="41" t="s">
        <v>69</v>
      </c>
      <c r="B56" s="41"/>
      <c r="C56" s="41"/>
      <c r="D56" s="41"/>
      <c r="E56" s="41"/>
      <c r="F56" s="41"/>
      <c r="G56" s="29">
        <f>281.58*4+141.6*4</f>
        <v>1692.7199999999998</v>
      </c>
    </row>
    <row r="57" spans="1:7" ht="15.75" customHeight="1">
      <c r="A57" s="42" t="s">
        <v>70</v>
      </c>
      <c r="B57" s="42"/>
      <c r="C57" s="42"/>
      <c r="D57" s="42"/>
      <c r="E57" s="42"/>
      <c r="F57" s="42"/>
      <c r="G57" s="32">
        <f>B3*B5*4+G56</f>
        <v>131713.31199999998</v>
      </c>
    </row>
    <row r="58" spans="1:7" ht="15.75" customHeight="1">
      <c r="A58" s="43" t="s">
        <v>71</v>
      </c>
      <c r="B58" s="43"/>
      <c r="C58" s="43"/>
      <c r="D58" s="43"/>
      <c r="E58" s="43"/>
      <c r="F58" s="43"/>
      <c r="G58" s="44">
        <v>13074.83</v>
      </c>
    </row>
    <row r="59" spans="1:7" ht="48.75" customHeight="1">
      <c r="A59" s="33" t="s">
        <v>80</v>
      </c>
      <c r="B59" s="33"/>
      <c r="C59" s="33"/>
      <c r="D59" s="33"/>
      <c r="E59" s="33"/>
      <c r="F59" s="33"/>
      <c r="G59" s="32">
        <f>G54-G57+G58-G55</f>
        <v>6092.932552645219</v>
      </c>
    </row>
  </sheetData>
  <sheetProtection selectLockedCells="1" selectUnlockedCells="1"/>
  <mergeCells count="48">
    <mergeCell ref="A1:G1"/>
    <mergeCell ref="B2:E2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printOptions/>
  <pageMargins left="0.19652777777777777" right="0" top="0" bottom="0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0"/>
  </sheetPr>
  <dimension ref="A1:G59"/>
  <sheetViews>
    <sheetView zoomScale="75" zoomScaleNormal="75" workbookViewId="0" topLeftCell="A21">
      <pane ySplit="65535" topLeftCell="A21" activePane="topLeft" state="split"/>
      <selection pane="topLeft" activeCell="G58" activeCellId="1" sqref="A77:G138 G58"/>
      <selection pane="bottomLeft" activeCell="A21" sqref="A21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4.57421875" style="1" customWidth="1"/>
    <col min="8" max="16384" width="9.140625" style="1" customWidth="1"/>
  </cols>
  <sheetData>
    <row r="1" spans="1:7" ht="40.5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73</v>
      </c>
      <c r="B2" s="7" t="s">
        <v>104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75</v>
      </c>
      <c r="B3" s="10">
        <v>3368.4</v>
      </c>
      <c r="F3" s="8" t="s">
        <v>5</v>
      </c>
      <c r="G3" s="11">
        <v>4</v>
      </c>
    </row>
    <row r="4" spans="1:7" ht="18.75">
      <c r="A4" s="12" t="s">
        <v>76</v>
      </c>
      <c r="B4" s="13"/>
      <c r="F4" s="8" t="s">
        <v>8</v>
      </c>
      <c r="G4" s="9">
        <v>1964</v>
      </c>
    </row>
    <row r="5" spans="1:3" ht="18" customHeight="1">
      <c r="A5" s="12" t="s">
        <v>76</v>
      </c>
      <c r="B5" s="13">
        <v>9.49</v>
      </c>
      <c r="C5" s="1" t="s">
        <v>9</v>
      </c>
    </row>
    <row r="6" spans="1:7" ht="18.75" hidden="1">
      <c r="A6" s="14" t="s">
        <v>10</v>
      </c>
      <c r="B6" s="15">
        <v>230</v>
      </c>
      <c r="C6" s="16"/>
      <c r="D6" s="16"/>
      <c r="E6" s="16"/>
      <c r="F6" s="16"/>
      <c r="G6" s="16"/>
    </row>
    <row r="7" spans="1:7" ht="18.75" hidden="1">
      <c r="A7" s="14" t="s">
        <v>12</v>
      </c>
      <c r="B7" s="17">
        <v>0</v>
      </c>
      <c r="C7" s="16"/>
      <c r="D7" s="16"/>
      <c r="E7" s="16"/>
      <c r="F7" s="16"/>
      <c r="G7" s="16"/>
    </row>
    <row r="8" spans="1:7" ht="38.25" customHeight="1" hidden="1">
      <c r="A8" s="18" t="s">
        <v>13</v>
      </c>
      <c r="B8" s="19" t="s">
        <v>14</v>
      </c>
      <c r="C8" s="19" t="s">
        <v>15</v>
      </c>
      <c r="D8" s="19" t="s">
        <v>16</v>
      </c>
      <c r="E8" s="19" t="s">
        <v>17</v>
      </c>
      <c r="F8" s="16"/>
      <c r="G8" s="16"/>
    </row>
    <row r="9" spans="1:7" ht="20.25" customHeight="1" hidden="1">
      <c r="A9" s="14"/>
      <c r="B9" s="17">
        <v>457</v>
      </c>
      <c r="C9" s="17">
        <v>2284</v>
      </c>
      <c r="D9" s="17">
        <v>457</v>
      </c>
      <c r="E9" s="17">
        <v>2284</v>
      </c>
      <c r="F9" s="16"/>
      <c r="G9" s="16"/>
    </row>
    <row r="10" spans="1:7" ht="18.75" hidden="1">
      <c r="A10" s="14" t="s">
        <v>18</v>
      </c>
      <c r="B10" s="20">
        <v>0</v>
      </c>
      <c r="C10" s="16"/>
      <c r="D10" s="16"/>
      <c r="E10" s="16"/>
      <c r="F10" s="16"/>
      <c r="G10" s="16"/>
    </row>
    <row r="11" spans="1:7" ht="19.5" hidden="1">
      <c r="A11" s="14" t="s">
        <v>19</v>
      </c>
      <c r="B11" s="20">
        <v>0</v>
      </c>
      <c r="C11" s="20">
        <v>627.8</v>
      </c>
      <c r="D11" s="20">
        <f>B11+C11</f>
        <v>627.8</v>
      </c>
      <c r="E11" s="16"/>
      <c r="F11" s="16"/>
      <c r="G11" s="16"/>
    </row>
    <row r="12" spans="1:7" ht="50.25" customHeight="1" hidden="1">
      <c r="A12" s="14" t="s">
        <v>20</v>
      </c>
      <c r="B12" s="19" t="s">
        <v>21</v>
      </c>
      <c r="C12" s="21" t="s">
        <v>22</v>
      </c>
      <c r="D12" s="19" t="s">
        <v>23</v>
      </c>
      <c r="E12" s="22" t="s">
        <v>24</v>
      </c>
      <c r="F12" s="17" t="s">
        <v>25</v>
      </c>
      <c r="G12" s="16"/>
    </row>
    <row r="13" spans="1:7" ht="23.25" customHeight="1" hidden="1">
      <c r="A13" s="23"/>
      <c r="B13" s="24">
        <v>80</v>
      </c>
      <c r="C13" s="24">
        <v>80</v>
      </c>
      <c r="D13" s="24">
        <v>0</v>
      </c>
      <c r="E13" s="25">
        <f>D13+C13+B13</f>
        <v>160</v>
      </c>
      <c r="F13" s="17">
        <v>80</v>
      </c>
      <c r="G13" s="16"/>
    </row>
    <row r="14" spans="1:7" ht="18.75" customHeight="1">
      <c r="A14" s="26" t="s">
        <v>26</v>
      </c>
      <c r="B14" s="26"/>
      <c r="C14" s="26"/>
      <c r="D14" s="26"/>
      <c r="E14" s="26"/>
      <c r="F14" s="26"/>
      <c r="G14" s="27" t="s">
        <v>27</v>
      </c>
    </row>
    <row r="15" spans="1:7" ht="15.75">
      <c r="A15" s="28" t="s">
        <v>28</v>
      </c>
      <c r="B15" s="28"/>
      <c r="C15" s="28"/>
      <c r="D15" s="28"/>
      <c r="E15" s="28"/>
      <c r="F15" s="28"/>
      <c r="G15" s="29">
        <f>B6*7.012*4</f>
        <v>6451.04</v>
      </c>
    </row>
    <row r="16" spans="1:7" ht="15.75" hidden="1">
      <c r="A16" s="28" t="s">
        <v>29</v>
      </c>
      <c r="B16" s="28"/>
      <c r="C16" s="28"/>
      <c r="D16" s="28"/>
      <c r="E16" s="28"/>
      <c r="F16" s="28"/>
      <c r="G16" s="29">
        <f>B7*35.705*12</f>
        <v>0</v>
      </c>
    </row>
    <row r="17" spans="1:7" ht="15.75" hidden="1">
      <c r="A17" s="28" t="s">
        <v>30</v>
      </c>
      <c r="B17" s="28"/>
      <c r="C17" s="28"/>
      <c r="D17" s="28"/>
      <c r="E17" s="28"/>
      <c r="F17" s="28"/>
      <c r="G17" s="29">
        <f>B10*0.3613*12</f>
        <v>0</v>
      </c>
    </row>
    <row r="18" spans="1:7" ht="15.75">
      <c r="A18" s="28" t="s">
        <v>31</v>
      </c>
      <c r="B18" s="28"/>
      <c r="C18" s="28"/>
      <c r="D18" s="28"/>
      <c r="E18" s="28"/>
      <c r="F18" s="28"/>
      <c r="G18" s="29">
        <f>(B9*9.46/100*64)+(C9*7.09/100*38)+(D9*23.66/100*26)+(E9*1.77/100*5)</f>
        <v>11933.828800000001</v>
      </c>
    </row>
    <row r="19" spans="1:7" ht="15.75" customHeight="1">
      <c r="A19" s="30" t="s">
        <v>32</v>
      </c>
      <c r="B19" s="30"/>
      <c r="C19" s="30"/>
      <c r="D19" s="30"/>
      <c r="E19" s="30"/>
      <c r="F19" s="30"/>
      <c r="G19" s="31">
        <f>574906.73/199064.79*B3</f>
        <v>9728.06807940269</v>
      </c>
    </row>
    <row r="20" spans="1:7" ht="15.75">
      <c r="A20" s="28" t="s">
        <v>33</v>
      </c>
      <c r="B20" s="28"/>
      <c r="C20" s="28"/>
      <c r="D20" s="28"/>
      <c r="E20" s="28"/>
      <c r="F20" s="28"/>
      <c r="G20" s="29">
        <f>D11*0.14*2</f>
        <v>175.784</v>
      </c>
    </row>
    <row r="21" spans="1:7" ht="15.75">
      <c r="A21" s="28" t="s">
        <v>34</v>
      </c>
      <c r="B21" s="28"/>
      <c r="C21" s="28"/>
      <c r="D21" s="28"/>
      <c r="E21" s="28"/>
      <c r="F21" s="28"/>
      <c r="G21" s="29">
        <f>95.95+4078.08+4078.08+1055.39+4413.39</f>
        <v>13720.89</v>
      </c>
    </row>
    <row r="22" spans="1:7" ht="15.75">
      <c r="A22" s="28" t="s">
        <v>35</v>
      </c>
      <c r="B22" s="28"/>
      <c r="C22" s="28"/>
      <c r="D22" s="28"/>
      <c r="E22" s="28"/>
      <c r="F22" s="28"/>
      <c r="G22" s="29">
        <f>B3*0.845*4</f>
        <v>11385.192</v>
      </c>
    </row>
    <row r="23" spans="1:7" ht="15.75" hidden="1">
      <c r="A23" s="28" t="s">
        <v>36</v>
      </c>
      <c r="B23" s="28"/>
      <c r="C23" s="28"/>
      <c r="D23" s="28"/>
      <c r="E23" s="28"/>
      <c r="F23" s="28"/>
      <c r="G23" s="29">
        <v>0</v>
      </c>
    </row>
    <row r="24" spans="1:7" ht="15.75" hidden="1">
      <c r="A24" s="28" t="s">
        <v>37</v>
      </c>
      <c r="B24" s="28"/>
      <c r="C24" s="28"/>
      <c r="D24" s="28"/>
      <c r="E24" s="28"/>
      <c r="F24" s="28"/>
      <c r="G24" s="29">
        <v>0</v>
      </c>
    </row>
    <row r="25" spans="1:7" ht="15.75" hidden="1">
      <c r="A25" s="28" t="s">
        <v>38</v>
      </c>
      <c r="B25" s="28"/>
      <c r="C25" s="28"/>
      <c r="D25" s="28"/>
      <c r="E25" s="28"/>
      <c r="F25" s="28"/>
      <c r="G25" s="29">
        <v>0</v>
      </c>
    </row>
    <row r="26" spans="1:7" ht="15.75">
      <c r="A26" s="28" t="s">
        <v>39</v>
      </c>
      <c r="B26" s="28"/>
      <c r="C26" s="28"/>
      <c r="D26" s="28"/>
      <c r="E26" s="28"/>
      <c r="F26" s="28"/>
      <c r="G26" s="29">
        <f>3*352+4*251.46</f>
        <v>2061.84</v>
      </c>
    </row>
    <row r="27" spans="1:7" ht="15.75" hidden="1">
      <c r="A27" s="28" t="s">
        <v>40</v>
      </c>
      <c r="B27" s="28"/>
      <c r="C27" s="28"/>
      <c r="D27" s="28"/>
      <c r="E27" s="28"/>
      <c r="F27" s="28"/>
      <c r="G27" s="29">
        <v>0</v>
      </c>
    </row>
    <row r="28" spans="1:7" ht="15.75" hidden="1">
      <c r="A28" s="28" t="s">
        <v>41</v>
      </c>
      <c r="B28" s="28"/>
      <c r="C28" s="28"/>
      <c r="D28" s="28"/>
      <c r="E28" s="28"/>
      <c r="F28" s="28"/>
      <c r="G28" s="29">
        <v>0</v>
      </c>
    </row>
    <row r="29" spans="1:7" ht="15.75" hidden="1">
      <c r="A29" s="28" t="s">
        <v>42</v>
      </c>
      <c r="B29" s="28"/>
      <c r="C29" s="28"/>
      <c r="D29" s="28"/>
      <c r="E29" s="28"/>
      <c r="F29" s="28"/>
      <c r="G29" s="29">
        <v>0</v>
      </c>
    </row>
    <row r="30" spans="1:7" ht="15.75">
      <c r="A30" s="28" t="s">
        <v>43</v>
      </c>
      <c r="B30" s="28"/>
      <c r="C30" s="28"/>
      <c r="D30" s="28"/>
      <c r="E30" s="28"/>
      <c r="F30" s="28"/>
      <c r="G30" s="29">
        <f>B3*1.75*4</f>
        <v>23578.8</v>
      </c>
    </row>
    <row r="31" spans="1:7" ht="15.75" customHeight="1">
      <c r="A31" s="30" t="s">
        <v>44</v>
      </c>
      <c r="B31" s="30"/>
      <c r="C31" s="30"/>
      <c r="D31" s="30"/>
      <c r="E31" s="30"/>
      <c r="F31" s="30"/>
      <c r="G31" s="29">
        <f>(F13*4*8.57)+(B13*2*3.14)+(C13*1*3.14)+(D13*1*3.14)</f>
        <v>3496</v>
      </c>
    </row>
    <row r="32" spans="1:7" ht="15.75">
      <c r="A32" s="28" t="s">
        <v>45</v>
      </c>
      <c r="B32" s="28"/>
      <c r="C32" s="28"/>
      <c r="D32" s="28"/>
      <c r="E32" s="28"/>
      <c r="F32" s="28"/>
      <c r="G32" s="29">
        <f>B3*0.65*4</f>
        <v>8757.84</v>
      </c>
    </row>
    <row r="33" spans="1:7" ht="15.75">
      <c r="A33" s="28" t="s">
        <v>46</v>
      </c>
      <c r="B33" s="28"/>
      <c r="C33" s="28"/>
      <c r="D33" s="28"/>
      <c r="E33" s="28"/>
      <c r="F33" s="28"/>
      <c r="G33" s="29">
        <f>B3*0.2*4</f>
        <v>2694.7200000000003</v>
      </c>
    </row>
    <row r="34" spans="1:7" ht="15.75">
      <c r="A34" s="28" t="s">
        <v>47</v>
      </c>
      <c r="B34" s="28"/>
      <c r="C34" s="28"/>
      <c r="D34" s="28"/>
      <c r="E34" s="28"/>
      <c r="F34" s="28"/>
      <c r="G34" s="29">
        <f>B3*0.7*4</f>
        <v>9431.52</v>
      </c>
    </row>
    <row r="35" spans="1:7" ht="15.75">
      <c r="A35" s="26" t="s">
        <v>48</v>
      </c>
      <c r="B35" s="26"/>
      <c r="C35" s="26"/>
      <c r="D35" s="26"/>
      <c r="E35" s="26"/>
      <c r="F35" s="26"/>
      <c r="G35" s="32">
        <f>G15+G16+G17+G18+G19+G20+G21+G22+G23+G24+G26+G30+G31+G32+G33+G34+G27+G28+G29+G25</f>
        <v>103415.52287940269</v>
      </c>
    </row>
    <row r="36" spans="1:7" ht="20.25" customHeight="1">
      <c r="A36" s="33" t="s">
        <v>49</v>
      </c>
      <c r="B36" s="33"/>
      <c r="C36" s="33"/>
      <c r="D36" s="33"/>
      <c r="E36" s="33"/>
      <c r="F36" s="33"/>
      <c r="G36" s="29"/>
    </row>
    <row r="37" spans="1:7" ht="15.75" hidden="1">
      <c r="A37" s="28" t="s">
        <v>50</v>
      </c>
      <c r="B37" s="28"/>
      <c r="C37" s="28"/>
      <c r="D37" s="28"/>
      <c r="E37" s="28"/>
      <c r="F37" s="28"/>
      <c r="G37" s="29"/>
    </row>
    <row r="38" spans="1:7" ht="15.75">
      <c r="A38" s="28" t="s">
        <v>51</v>
      </c>
      <c r="B38" s="28"/>
      <c r="C38" s="28"/>
      <c r="D38" s="28"/>
      <c r="E38" s="28"/>
      <c r="F38" s="28"/>
      <c r="G38" s="29"/>
    </row>
    <row r="39" spans="1:7" ht="15.75" hidden="1">
      <c r="A39" s="34" t="s">
        <v>52</v>
      </c>
      <c r="B39" s="34"/>
      <c r="C39" s="34"/>
      <c r="D39" s="34"/>
      <c r="E39" s="34"/>
      <c r="F39" s="34"/>
      <c r="G39" s="29"/>
    </row>
    <row r="40" spans="1:7" ht="15.75" hidden="1">
      <c r="A40" s="34" t="s">
        <v>53</v>
      </c>
      <c r="B40" s="34"/>
      <c r="C40" s="34"/>
      <c r="D40" s="34"/>
      <c r="E40" s="34"/>
      <c r="F40" s="34"/>
      <c r="G40" s="29"/>
    </row>
    <row r="41" spans="1:7" ht="15.75">
      <c r="A41" s="34" t="s">
        <v>54</v>
      </c>
      <c r="B41" s="34"/>
      <c r="C41" s="34"/>
      <c r="D41" s="34"/>
      <c r="E41" s="34"/>
      <c r="F41" s="34"/>
      <c r="G41" s="29">
        <v>530</v>
      </c>
    </row>
    <row r="42" spans="1:7" ht="15.75" hidden="1">
      <c r="A42" s="34" t="s">
        <v>55</v>
      </c>
      <c r="B42" s="34"/>
      <c r="C42" s="34"/>
      <c r="D42" s="34"/>
      <c r="E42" s="34"/>
      <c r="F42" s="34"/>
      <c r="G42" s="29"/>
    </row>
    <row r="43" spans="1:7" ht="15.75" hidden="1">
      <c r="A43" s="34" t="s">
        <v>56</v>
      </c>
      <c r="B43" s="34"/>
      <c r="C43" s="34"/>
      <c r="D43" s="34"/>
      <c r="E43" s="34"/>
      <c r="F43" s="34"/>
      <c r="G43" s="29"/>
    </row>
    <row r="44" spans="1:7" ht="15.75">
      <c r="A44" s="34" t="s">
        <v>57</v>
      </c>
      <c r="B44" s="34"/>
      <c r="C44" s="34"/>
      <c r="D44" s="34"/>
      <c r="E44" s="34"/>
      <c r="F44" s="34"/>
      <c r="G44" s="29">
        <v>1750</v>
      </c>
    </row>
    <row r="45" spans="1:7" ht="15.75">
      <c r="A45" s="34" t="s">
        <v>58</v>
      </c>
      <c r="B45" s="34"/>
      <c r="C45" s="34"/>
      <c r="D45" s="34"/>
      <c r="E45" s="34"/>
      <c r="F45" s="34"/>
      <c r="G45" s="29">
        <v>168</v>
      </c>
    </row>
    <row r="46" spans="1:7" ht="15.75">
      <c r="A46" s="34" t="s">
        <v>59</v>
      </c>
      <c r="B46" s="34"/>
      <c r="C46" s="34"/>
      <c r="D46" s="34"/>
      <c r="E46" s="34"/>
      <c r="F46" s="34"/>
      <c r="G46" s="29">
        <v>5310</v>
      </c>
    </row>
    <row r="47" spans="1:7" ht="15.75" hidden="1">
      <c r="A47" s="34" t="s">
        <v>60</v>
      </c>
      <c r="B47" s="34"/>
      <c r="C47" s="34"/>
      <c r="D47" s="34"/>
      <c r="E47" s="34"/>
      <c r="F47" s="34"/>
      <c r="G47" s="29"/>
    </row>
    <row r="48" spans="1:7" ht="15.75" hidden="1">
      <c r="A48" s="34" t="s">
        <v>61</v>
      </c>
      <c r="B48" s="34"/>
      <c r="C48" s="34"/>
      <c r="D48" s="34"/>
      <c r="E48" s="34"/>
      <c r="F48" s="34"/>
      <c r="G48" s="29"/>
    </row>
    <row r="49" spans="1:7" ht="15.75">
      <c r="A49" s="34" t="s">
        <v>62</v>
      </c>
      <c r="B49" s="34"/>
      <c r="C49" s="34"/>
      <c r="D49" s="34"/>
      <c r="E49" s="34"/>
      <c r="F49" s="34"/>
      <c r="G49" s="29">
        <v>79770</v>
      </c>
    </row>
    <row r="50" spans="1:7" ht="15.75">
      <c r="A50" s="34" t="s">
        <v>63</v>
      </c>
      <c r="B50" s="34"/>
      <c r="C50" s="34"/>
      <c r="D50" s="34"/>
      <c r="E50" s="34"/>
      <c r="F50" s="34"/>
      <c r="G50" s="29">
        <v>6470</v>
      </c>
    </row>
    <row r="51" spans="1:7" ht="15.75" hidden="1">
      <c r="A51" s="34" t="s">
        <v>64</v>
      </c>
      <c r="B51" s="34"/>
      <c r="C51" s="34"/>
      <c r="D51" s="34"/>
      <c r="E51" s="34"/>
      <c r="F51" s="34"/>
      <c r="G51" s="29"/>
    </row>
    <row r="52" spans="1:7" ht="15.75" hidden="1">
      <c r="A52" s="34" t="s">
        <v>65</v>
      </c>
      <c r="B52" s="34"/>
      <c r="C52" s="34"/>
      <c r="D52" s="34"/>
      <c r="E52" s="34"/>
      <c r="F52" s="34"/>
      <c r="G52" s="29"/>
    </row>
    <row r="53" spans="1:7" ht="18.75" customHeight="1">
      <c r="A53" s="33" t="s">
        <v>66</v>
      </c>
      <c r="B53" s="33"/>
      <c r="C53" s="33"/>
      <c r="D53" s="33"/>
      <c r="E53" s="33"/>
      <c r="F53" s="33"/>
      <c r="G53" s="32">
        <f>G39+G40+G41+G42+G43+G44+G45+G46+G47+G48+G49+G50+G51+G52</f>
        <v>93998</v>
      </c>
    </row>
    <row r="54" spans="1:7" ht="21" customHeight="1">
      <c r="A54" s="33" t="s">
        <v>67</v>
      </c>
      <c r="B54" s="33"/>
      <c r="C54" s="33"/>
      <c r="D54" s="33"/>
      <c r="E54" s="33"/>
      <c r="F54" s="33"/>
      <c r="G54" s="32">
        <f>G35+G53</f>
        <v>197413.52287940268</v>
      </c>
    </row>
    <row r="55" spans="1:7" ht="15.75">
      <c r="A55" s="28" t="s">
        <v>68</v>
      </c>
      <c r="B55" s="28"/>
      <c r="C55" s="28"/>
      <c r="D55" s="28"/>
      <c r="E55" s="28"/>
      <c r="F55" s="28"/>
      <c r="G55" s="29">
        <v>-12063.58</v>
      </c>
    </row>
    <row r="56" spans="1:7" ht="15.75">
      <c r="A56" s="41" t="s">
        <v>69</v>
      </c>
      <c r="B56" s="41"/>
      <c r="C56" s="41"/>
      <c r="D56" s="41"/>
      <c r="E56" s="41"/>
      <c r="F56" s="41"/>
      <c r="G56" s="29">
        <f>281.58*4+141.6*4+180*4</f>
        <v>2412.72</v>
      </c>
    </row>
    <row r="57" spans="1:7" ht="15.75" customHeight="1">
      <c r="A57" s="42" t="s">
        <v>70</v>
      </c>
      <c r="B57" s="42"/>
      <c r="C57" s="42"/>
      <c r="D57" s="42"/>
      <c r="E57" s="42"/>
      <c r="F57" s="42"/>
      <c r="G57" s="32">
        <f>B3*B5*4+G56</f>
        <v>130277.18400000001</v>
      </c>
    </row>
    <row r="58" spans="1:7" ht="15.75" customHeight="1">
      <c r="A58" s="43" t="s">
        <v>71</v>
      </c>
      <c r="B58" s="43"/>
      <c r="C58" s="43"/>
      <c r="D58" s="43"/>
      <c r="E58" s="43"/>
      <c r="F58" s="43"/>
      <c r="G58" s="44">
        <v>11522.12</v>
      </c>
    </row>
    <row r="59" spans="1:7" ht="57.75" customHeight="1">
      <c r="A59" s="33" t="s">
        <v>80</v>
      </c>
      <c r="B59" s="33"/>
      <c r="C59" s="33"/>
      <c r="D59" s="33"/>
      <c r="E59" s="33"/>
      <c r="F59" s="33"/>
      <c r="G59" s="32">
        <f>G54-G57+G58-G55</f>
        <v>90722.03887940267</v>
      </c>
    </row>
  </sheetData>
  <sheetProtection selectLockedCells="1" selectUnlockedCells="1"/>
  <mergeCells count="48">
    <mergeCell ref="A1:G1"/>
    <mergeCell ref="B2:E2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</sheetPr>
  <dimension ref="A1:G59"/>
  <sheetViews>
    <sheetView zoomScale="75" zoomScaleNormal="75" workbookViewId="0" topLeftCell="A22">
      <pane ySplit="65535" topLeftCell="A22" activePane="topLeft" state="split"/>
      <selection pane="topLeft" activeCell="G58" activeCellId="1" sqref="A77:G138 G58"/>
      <selection pane="bottomLeft" activeCell="A22" sqref="A22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4.00390625" style="1" customWidth="1"/>
    <col min="8" max="16384" width="9.140625" style="1" customWidth="1"/>
  </cols>
  <sheetData>
    <row r="1" spans="1:7" ht="40.5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73</v>
      </c>
      <c r="B2" s="7" t="s">
        <v>105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75</v>
      </c>
      <c r="B3" s="10">
        <v>4834.2</v>
      </c>
      <c r="F3" s="8" t="s">
        <v>5</v>
      </c>
      <c r="G3" s="11">
        <v>6</v>
      </c>
    </row>
    <row r="4" spans="1:7" ht="18.75">
      <c r="A4" s="12" t="s">
        <v>76</v>
      </c>
      <c r="B4" s="13"/>
      <c r="F4" s="8" t="s">
        <v>8</v>
      </c>
      <c r="G4" s="9">
        <v>1971</v>
      </c>
    </row>
    <row r="5" spans="1:3" ht="18" customHeight="1">
      <c r="A5" s="12" t="s">
        <v>76</v>
      </c>
      <c r="B5" s="13">
        <v>9.49</v>
      </c>
      <c r="C5" s="1" t="s">
        <v>9</v>
      </c>
    </row>
    <row r="6" spans="1:7" ht="18.75" hidden="1">
      <c r="A6" s="14" t="s">
        <v>10</v>
      </c>
      <c r="B6" s="15">
        <v>420</v>
      </c>
      <c r="C6" s="16"/>
      <c r="D6" s="16"/>
      <c r="E6" s="16"/>
      <c r="F6" s="16"/>
      <c r="G6" s="16"/>
    </row>
    <row r="7" spans="1:7" ht="18.75" hidden="1">
      <c r="A7" s="14" t="s">
        <v>12</v>
      </c>
      <c r="B7" s="17">
        <v>0</v>
      </c>
      <c r="C7" s="16"/>
      <c r="D7" s="16"/>
      <c r="E7" s="16"/>
      <c r="F7" s="16"/>
      <c r="G7" s="16"/>
    </row>
    <row r="8" spans="1:7" ht="38.25" customHeight="1" hidden="1">
      <c r="A8" s="18" t="s">
        <v>13</v>
      </c>
      <c r="B8" s="19" t="s">
        <v>14</v>
      </c>
      <c r="C8" s="19" t="s">
        <v>15</v>
      </c>
      <c r="D8" s="19" t="s">
        <v>16</v>
      </c>
      <c r="E8" s="19" t="s">
        <v>17</v>
      </c>
      <c r="F8" s="16"/>
      <c r="G8" s="16"/>
    </row>
    <row r="9" spans="1:7" ht="20.25" customHeight="1" hidden="1">
      <c r="A9" s="14"/>
      <c r="B9" s="17">
        <v>850</v>
      </c>
      <c r="C9" s="17">
        <v>2945</v>
      </c>
      <c r="D9" s="17">
        <v>725</v>
      </c>
      <c r="E9" s="17">
        <v>3070</v>
      </c>
      <c r="F9" s="16"/>
      <c r="G9" s="16"/>
    </row>
    <row r="10" spans="1:7" ht="18.75" hidden="1">
      <c r="A10" s="14" t="s">
        <v>18</v>
      </c>
      <c r="B10" s="20">
        <v>0</v>
      </c>
      <c r="C10" s="16"/>
      <c r="D10" s="16"/>
      <c r="E10" s="16"/>
      <c r="F10" s="16"/>
      <c r="G10" s="16"/>
    </row>
    <row r="11" spans="1:7" ht="19.5" hidden="1">
      <c r="A11" s="14" t="s">
        <v>19</v>
      </c>
      <c r="B11" s="20">
        <v>885.8</v>
      </c>
      <c r="C11" s="20">
        <v>883.23</v>
      </c>
      <c r="D11" s="20">
        <f>B11+C11</f>
        <v>1769.03</v>
      </c>
      <c r="E11" s="16"/>
      <c r="F11" s="16"/>
      <c r="G11" s="16"/>
    </row>
    <row r="12" spans="1:7" ht="50.25" customHeight="1" hidden="1">
      <c r="A12" s="14" t="s">
        <v>20</v>
      </c>
      <c r="B12" s="19" t="s">
        <v>21</v>
      </c>
      <c r="C12" s="21" t="s">
        <v>22</v>
      </c>
      <c r="D12" s="19" t="s">
        <v>23</v>
      </c>
      <c r="E12" s="22" t="s">
        <v>24</v>
      </c>
      <c r="F12" s="17" t="s">
        <v>25</v>
      </c>
      <c r="G12" s="16"/>
    </row>
    <row r="13" spans="1:7" ht="23.25" customHeight="1" hidden="1">
      <c r="A13" s="23"/>
      <c r="B13" s="24">
        <v>90</v>
      </c>
      <c r="C13" s="24">
        <v>90</v>
      </c>
      <c r="D13" s="24">
        <v>0</v>
      </c>
      <c r="E13" s="25">
        <f>D13+C13+B13</f>
        <v>180</v>
      </c>
      <c r="F13" s="17">
        <v>0</v>
      </c>
      <c r="G13" s="16"/>
    </row>
    <row r="14" spans="1:7" ht="18.75" customHeight="1">
      <c r="A14" s="26" t="s">
        <v>26</v>
      </c>
      <c r="B14" s="26"/>
      <c r="C14" s="26"/>
      <c r="D14" s="26"/>
      <c r="E14" s="26"/>
      <c r="F14" s="26"/>
      <c r="G14" s="27" t="s">
        <v>27</v>
      </c>
    </row>
    <row r="15" spans="1:7" ht="15.75">
      <c r="A15" s="28" t="s">
        <v>28</v>
      </c>
      <c r="B15" s="28"/>
      <c r="C15" s="28"/>
      <c r="D15" s="28"/>
      <c r="E15" s="28"/>
      <c r="F15" s="28"/>
      <c r="G15" s="29">
        <f>B6*7.012*4</f>
        <v>11780.16</v>
      </c>
    </row>
    <row r="16" spans="1:7" ht="15.75" hidden="1">
      <c r="A16" s="28" t="s">
        <v>29</v>
      </c>
      <c r="B16" s="28"/>
      <c r="C16" s="28"/>
      <c r="D16" s="28"/>
      <c r="E16" s="28"/>
      <c r="F16" s="28"/>
      <c r="G16" s="29">
        <f>B7*35.705*12</f>
        <v>0</v>
      </c>
    </row>
    <row r="17" spans="1:7" ht="15.75" hidden="1">
      <c r="A17" s="28" t="s">
        <v>30</v>
      </c>
      <c r="B17" s="28"/>
      <c r="C17" s="28"/>
      <c r="D17" s="28"/>
      <c r="E17" s="28"/>
      <c r="F17" s="28"/>
      <c r="G17" s="29">
        <f>B10*0.3613*12</f>
        <v>0</v>
      </c>
    </row>
    <row r="18" spans="1:7" ht="15.75">
      <c r="A18" s="28" t="s">
        <v>31</v>
      </c>
      <c r="B18" s="28"/>
      <c r="C18" s="28"/>
      <c r="D18" s="28"/>
      <c r="E18" s="28"/>
      <c r="F18" s="28"/>
      <c r="G18" s="29">
        <f>(B9*9.46/100*64)+(C9*7.09/100*38)+(D9*23.66/100*26)+(E9*1.77/100*5)</f>
        <v>17812.264</v>
      </c>
    </row>
    <row r="19" spans="1:7" ht="15.75" customHeight="1">
      <c r="A19" s="30" t="s">
        <v>32</v>
      </c>
      <c r="B19" s="30"/>
      <c r="C19" s="30"/>
      <c r="D19" s="30"/>
      <c r="E19" s="30"/>
      <c r="F19" s="30"/>
      <c r="G19" s="31">
        <f>574906.73/199064.79*B3</f>
        <v>13961.354562833536</v>
      </c>
    </row>
    <row r="20" spans="1:7" ht="15.75">
      <c r="A20" s="28" t="s">
        <v>33</v>
      </c>
      <c r="B20" s="28"/>
      <c r="C20" s="28"/>
      <c r="D20" s="28"/>
      <c r="E20" s="28"/>
      <c r="F20" s="28"/>
      <c r="G20" s="29">
        <f>D11*0.14*2+1372.99+1107.25</f>
        <v>2975.5684</v>
      </c>
    </row>
    <row r="21" spans="1:7" ht="15.75" hidden="1">
      <c r="A21" s="28" t="s">
        <v>34</v>
      </c>
      <c r="B21" s="28"/>
      <c r="C21" s="28"/>
      <c r="D21" s="28"/>
      <c r="E21" s="28"/>
      <c r="F21" s="28"/>
      <c r="G21" s="29">
        <v>0</v>
      </c>
    </row>
    <row r="22" spans="1:7" ht="15.75">
      <c r="A22" s="28" t="s">
        <v>35</v>
      </c>
      <c r="B22" s="28"/>
      <c r="C22" s="28"/>
      <c r="D22" s="28"/>
      <c r="E22" s="28"/>
      <c r="F22" s="28"/>
      <c r="G22" s="29">
        <f>B3*0.845*4</f>
        <v>16339.596</v>
      </c>
    </row>
    <row r="23" spans="1:7" ht="15.75" hidden="1">
      <c r="A23" s="28" t="s">
        <v>36</v>
      </c>
      <c r="B23" s="28"/>
      <c r="C23" s="28"/>
      <c r="D23" s="28"/>
      <c r="E23" s="28"/>
      <c r="F23" s="28"/>
      <c r="G23" s="29">
        <v>0</v>
      </c>
    </row>
    <row r="24" spans="1:7" ht="15.75" hidden="1">
      <c r="A24" s="28" t="s">
        <v>37</v>
      </c>
      <c r="B24" s="28"/>
      <c r="C24" s="28"/>
      <c r="D24" s="28"/>
      <c r="E24" s="28"/>
      <c r="F24" s="28"/>
      <c r="G24" s="29">
        <v>0</v>
      </c>
    </row>
    <row r="25" spans="1:7" ht="15.75" hidden="1">
      <c r="A25" s="28" t="s">
        <v>38</v>
      </c>
      <c r="B25" s="28"/>
      <c r="C25" s="28"/>
      <c r="D25" s="28"/>
      <c r="E25" s="28"/>
      <c r="F25" s="28"/>
      <c r="G25" s="29">
        <v>0</v>
      </c>
    </row>
    <row r="26" spans="1:7" ht="15.75" hidden="1">
      <c r="A26" s="28" t="s">
        <v>39</v>
      </c>
      <c r="B26" s="28"/>
      <c r="C26" s="28"/>
      <c r="D26" s="28"/>
      <c r="E26" s="28"/>
      <c r="F26" s="28"/>
      <c r="G26" s="29">
        <v>0</v>
      </c>
    </row>
    <row r="27" spans="1:7" ht="15.75" hidden="1">
      <c r="A27" s="28" t="s">
        <v>40</v>
      </c>
      <c r="B27" s="28"/>
      <c r="C27" s="28"/>
      <c r="D27" s="28"/>
      <c r="E27" s="28"/>
      <c r="F27" s="28"/>
      <c r="G27" s="29">
        <v>0</v>
      </c>
    </row>
    <row r="28" spans="1:7" ht="15.75" hidden="1">
      <c r="A28" s="28" t="s">
        <v>41</v>
      </c>
      <c r="B28" s="28"/>
      <c r="C28" s="28"/>
      <c r="D28" s="28"/>
      <c r="E28" s="28"/>
      <c r="F28" s="28"/>
      <c r="G28" s="29">
        <v>0</v>
      </c>
    </row>
    <row r="29" spans="1:7" ht="15.75" hidden="1">
      <c r="A29" s="28" t="s">
        <v>42</v>
      </c>
      <c r="B29" s="28"/>
      <c r="C29" s="28"/>
      <c r="D29" s="28"/>
      <c r="E29" s="28"/>
      <c r="F29" s="28"/>
      <c r="G29" s="29">
        <v>0</v>
      </c>
    </row>
    <row r="30" spans="1:7" ht="15.75">
      <c r="A30" s="28" t="s">
        <v>43</v>
      </c>
      <c r="B30" s="28"/>
      <c r="C30" s="28"/>
      <c r="D30" s="28"/>
      <c r="E30" s="28"/>
      <c r="F30" s="28"/>
      <c r="G30" s="29">
        <f>B3*1.75*4</f>
        <v>33839.4</v>
      </c>
    </row>
    <row r="31" spans="1:7" ht="15.75" customHeight="1">
      <c r="A31" s="30" t="s">
        <v>44</v>
      </c>
      <c r="B31" s="30"/>
      <c r="C31" s="30"/>
      <c r="D31" s="30"/>
      <c r="E31" s="30"/>
      <c r="F31" s="30"/>
      <c r="G31" s="29">
        <f>(F13*4*8.57)+(B13*2*3.14)+(C13*1*3.14)+(D13*1*3.14)</f>
        <v>847.8000000000001</v>
      </c>
    </row>
    <row r="32" spans="1:7" ht="15.75">
      <c r="A32" s="28" t="s">
        <v>45</v>
      </c>
      <c r="B32" s="28"/>
      <c r="C32" s="28"/>
      <c r="D32" s="28"/>
      <c r="E32" s="28"/>
      <c r="F32" s="28"/>
      <c r="G32" s="29">
        <f>B3*0.65*4</f>
        <v>12568.92</v>
      </c>
    </row>
    <row r="33" spans="1:7" ht="15.75">
      <c r="A33" s="28" t="s">
        <v>46</v>
      </c>
      <c r="B33" s="28"/>
      <c r="C33" s="28"/>
      <c r="D33" s="28"/>
      <c r="E33" s="28"/>
      <c r="F33" s="28"/>
      <c r="G33" s="29">
        <f>B3*0.2*4</f>
        <v>3867.36</v>
      </c>
    </row>
    <row r="34" spans="1:7" ht="15.75">
      <c r="A34" s="28" t="s">
        <v>47</v>
      </c>
      <c r="B34" s="28"/>
      <c r="C34" s="28"/>
      <c r="D34" s="28"/>
      <c r="E34" s="28"/>
      <c r="F34" s="28"/>
      <c r="G34" s="29">
        <f>B3*0.7*4</f>
        <v>13535.759999999998</v>
      </c>
    </row>
    <row r="35" spans="1:7" ht="15.75">
      <c r="A35" s="26" t="s">
        <v>48</v>
      </c>
      <c r="B35" s="26"/>
      <c r="C35" s="26"/>
      <c r="D35" s="26"/>
      <c r="E35" s="26"/>
      <c r="F35" s="26"/>
      <c r="G35" s="32">
        <f>G15+G16+G17+G18+G19+G20+G21+G22+G23+G24+G26+G30+G31+G32+G33+G34+G27+G28+G29+G25</f>
        <v>127528.18296283353</v>
      </c>
    </row>
    <row r="36" spans="1:7" ht="20.25" customHeight="1">
      <c r="A36" s="33" t="s">
        <v>49</v>
      </c>
      <c r="B36" s="33"/>
      <c r="C36" s="33"/>
      <c r="D36" s="33"/>
      <c r="E36" s="33"/>
      <c r="F36" s="33"/>
      <c r="G36" s="29"/>
    </row>
    <row r="37" spans="1:7" ht="15.75" hidden="1">
      <c r="A37" s="28" t="s">
        <v>50</v>
      </c>
      <c r="B37" s="28"/>
      <c r="C37" s="28"/>
      <c r="D37" s="28"/>
      <c r="E37" s="28"/>
      <c r="F37" s="28"/>
      <c r="G37" s="29"/>
    </row>
    <row r="38" spans="1:7" ht="15.75">
      <c r="A38" s="28" t="s">
        <v>51</v>
      </c>
      <c r="B38" s="28"/>
      <c r="C38" s="28"/>
      <c r="D38" s="28"/>
      <c r="E38" s="28"/>
      <c r="F38" s="28"/>
      <c r="G38" s="29"/>
    </row>
    <row r="39" spans="1:7" ht="15.75" hidden="1">
      <c r="A39" s="34" t="s">
        <v>52</v>
      </c>
      <c r="B39" s="34"/>
      <c r="C39" s="34"/>
      <c r="D39" s="34"/>
      <c r="E39" s="34"/>
      <c r="F39" s="34"/>
      <c r="G39" s="29"/>
    </row>
    <row r="40" spans="1:7" ht="15.75" hidden="1">
      <c r="A40" s="34" t="s">
        <v>53</v>
      </c>
      <c r="B40" s="34"/>
      <c r="C40" s="34"/>
      <c r="D40" s="34"/>
      <c r="E40" s="34"/>
      <c r="F40" s="34"/>
      <c r="G40" s="29"/>
    </row>
    <row r="41" spans="1:7" ht="15.75" hidden="1">
      <c r="A41" s="34" t="s">
        <v>54</v>
      </c>
      <c r="B41" s="34"/>
      <c r="C41" s="34"/>
      <c r="D41" s="34"/>
      <c r="E41" s="34"/>
      <c r="F41" s="34"/>
      <c r="G41" s="29"/>
    </row>
    <row r="42" spans="1:7" ht="15.75" hidden="1">
      <c r="A42" s="34" t="s">
        <v>55</v>
      </c>
      <c r="B42" s="34"/>
      <c r="C42" s="34"/>
      <c r="D42" s="34"/>
      <c r="E42" s="34"/>
      <c r="F42" s="34"/>
      <c r="G42" s="29"/>
    </row>
    <row r="43" spans="1:7" ht="15.75" hidden="1">
      <c r="A43" s="34" t="s">
        <v>56</v>
      </c>
      <c r="B43" s="34"/>
      <c r="C43" s="34"/>
      <c r="D43" s="34"/>
      <c r="E43" s="34"/>
      <c r="F43" s="34"/>
      <c r="G43" s="29"/>
    </row>
    <row r="44" spans="1:7" ht="15.75" hidden="1">
      <c r="A44" s="34" t="s">
        <v>57</v>
      </c>
      <c r="B44" s="34"/>
      <c r="C44" s="34"/>
      <c r="D44" s="34"/>
      <c r="E44" s="34"/>
      <c r="F44" s="34"/>
      <c r="G44" s="29"/>
    </row>
    <row r="45" spans="1:7" ht="15.75">
      <c r="A45" s="34" t="s">
        <v>58</v>
      </c>
      <c r="B45" s="34"/>
      <c r="C45" s="34"/>
      <c r="D45" s="34"/>
      <c r="E45" s="34"/>
      <c r="F45" s="34"/>
      <c r="G45" s="29">
        <v>168</v>
      </c>
    </row>
    <row r="46" spans="1:7" ht="15.75">
      <c r="A46" s="34" t="s">
        <v>59</v>
      </c>
      <c r="B46" s="34"/>
      <c r="C46" s="34"/>
      <c r="D46" s="34"/>
      <c r="E46" s="34"/>
      <c r="F46" s="34"/>
      <c r="G46" s="29">
        <v>3150</v>
      </c>
    </row>
    <row r="47" spans="1:7" ht="15.75" hidden="1">
      <c r="A47" s="34" t="s">
        <v>60</v>
      </c>
      <c r="B47" s="34"/>
      <c r="C47" s="34"/>
      <c r="D47" s="34"/>
      <c r="E47" s="34"/>
      <c r="F47" s="34"/>
      <c r="G47" s="29"/>
    </row>
    <row r="48" spans="1:7" ht="15.75" hidden="1">
      <c r="A48" s="34" t="s">
        <v>61</v>
      </c>
      <c r="B48" s="34"/>
      <c r="C48" s="34"/>
      <c r="D48" s="34"/>
      <c r="E48" s="34"/>
      <c r="F48" s="34"/>
      <c r="G48" s="29"/>
    </row>
    <row r="49" spans="1:7" ht="15.75" hidden="1">
      <c r="A49" s="34" t="s">
        <v>62</v>
      </c>
      <c r="B49" s="34"/>
      <c r="C49" s="34"/>
      <c r="D49" s="34"/>
      <c r="E49" s="34"/>
      <c r="F49" s="34"/>
      <c r="G49" s="29"/>
    </row>
    <row r="50" spans="1:7" ht="15.75">
      <c r="A50" s="34" t="s">
        <v>63</v>
      </c>
      <c r="B50" s="34"/>
      <c r="C50" s="34"/>
      <c r="D50" s="34"/>
      <c r="E50" s="34"/>
      <c r="F50" s="34"/>
      <c r="G50" s="29">
        <v>2780</v>
      </c>
    </row>
    <row r="51" spans="1:7" ht="15.75" hidden="1">
      <c r="A51" s="34" t="s">
        <v>64</v>
      </c>
      <c r="B51" s="34"/>
      <c r="C51" s="34"/>
      <c r="D51" s="34"/>
      <c r="E51" s="34"/>
      <c r="F51" s="34"/>
      <c r="G51" s="29"/>
    </row>
    <row r="52" spans="1:7" ht="15.75" hidden="1">
      <c r="A52" s="34" t="s">
        <v>65</v>
      </c>
      <c r="B52" s="34"/>
      <c r="C52" s="34"/>
      <c r="D52" s="34"/>
      <c r="E52" s="34"/>
      <c r="F52" s="34"/>
      <c r="G52" s="29"/>
    </row>
    <row r="53" spans="1:7" ht="18.75" customHeight="1">
      <c r="A53" s="33" t="s">
        <v>66</v>
      </c>
      <c r="B53" s="33"/>
      <c r="C53" s="33"/>
      <c r="D53" s="33"/>
      <c r="E53" s="33"/>
      <c r="F53" s="33"/>
      <c r="G53" s="32">
        <f>G39+G40+G41+G42+G43+G44+G45+G46+G47+G48+G49+G50+G51+G52</f>
        <v>6098</v>
      </c>
    </row>
    <row r="54" spans="1:7" ht="21" customHeight="1">
      <c r="A54" s="33" t="s">
        <v>67</v>
      </c>
      <c r="B54" s="33"/>
      <c r="C54" s="33"/>
      <c r="D54" s="33"/>
      <c r="E54" s="33"/>
      <c r="F54" s="33"/>
      <c r="G54" s="32">
        <f>G35+G53</f>
        <v>133626.18296283353</v>
      </c>
    </row>
    <row r="55" spans="1:7" ht="15.75" hidden="1">
      <c r="A55" s="28" t="s">
        <v>68</v>
      </c>
      <c r="B55" s="28"/>
      <c r="C55" s="28"/>
      <c r="D55" s="28"/>
      <c r="E55" s="28"/>
      <c r="F55" s="28"/>
      <c r="G55" s="29">
        <v>0</v>
      </c>
    </row>
    <row r="56" spans="1:7" ht="15.75">
      <c r="A56" s="41" t="s">
        <v>69</v>
      </c>
      <c r="B56" s="41"/>
      <c r="C56" s="41"/>
      <c r="D56" s="41"/>
      <c r="E56" s="41"/>
      <c r="F56" s="41"/>
      <c r="G56" s="29">
        <f>281.58*4+141.6*4+141.6*4+180*4</f>
        <v>2979.12</v>
      </c>
    </row>
    <row r="57" spans="1:7" ht="15.75" customHeight="1">
      <c r="A57" s="42" t="s">
        <v>70</v>
      </c>
      <c r="B57" s="42"/>
      <c r="C57" s="42"/>
      <c r="D57" s="42"/>
      <c r="E57" s="42"/>
      <c r="F57" s="42"/>
      <c r="G57" s="32">
        <f>B3*B5*4+G56</f>
        <v>186485.35199999998</v>
      </c>
    </row>
    <row r="58" spans="1:7" ht="15.75" customHeight="1">
      <c r="A58" s="43" t="s">
        <v>71</v>
      </c>
      <c r="B58" s="43"/>
      <c r="C58" s="43"/>
      <c r="D58" s="43"/>
      <c r="E58" s="43"/>
      <c r="F58" s="43"/>
      <c r="G58" s="44">
        <v>18622.6</v>
      </c>
    </row>
    <row r="59" spans="1:7" ht="48.75" customHeight="1">
      <c r="A59" s="33" t="s">
        <v>80</v>
      </c>
      <c r="B59" s="33"/>
      <c r="C59" s="33"/>
      <c r="D59" s="33"/>
      <c r="E59" s="33"/>
      <c r="F59" s="33"/>
      <c r="G59" s="32">
        <f>G54-G57+G58-G55</f>
        <v>-34236.56903716646</v>
      </c>
    </row>
  </sheetData>
  <sheetProtection selectLockedCells="1" selectUnlockedCells="1"/>
  <mergeCells count="48">
    <mergeCell ref="A1:G1"/>
    <mergeCell ref="B2:E2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0"/>
  </sheetPr>
  <dimension ref="A1:G59"/>
  <sheetViews>
    <sheetView zoomScale="75" zoomScaleNormal="75" workbookViewId="0" topLeftCell="A30">
      <pane ySplit="65535" topLeftCell="A30" activePane="topLeft" state="split"/>
      <selection pane="topLeft" activeCell="G58" activeCellId="1" sqref="A77:G138 G58"/>
      <selection pane="bottomLeft" activeCell="A30" sqref="A30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4.57421875" style="1" customWidth="1"/>
    <col min="8" max="16384" width="9.140625" style="1" customWidth="1"/>
  </cols>
  <sheetData>
    <row r="1" spans="1:7" ht="40.5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73</v>
      </c>
      <c r="B2" s="7" t="s">
        <v>106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75</v>
      </c>
      <c r="B3" s="10">
        <v>5064</v>
      </c>
      <c r="F3" s="8" t="s">
        <v>5</v>
      </c>
      <c r="G3" s="11">
        <v>6</v>
      </c>
    </row>
    <row r="4" spans="1:7" ht="18.75">
      <c r="A4" s="12" t="s">
        <v>76</v>
      </c>
      <c r="B4" s="13"/>
      <c r="F4" s="8" t="s">
        <v>8</v>
      </c>
      <c r="G4" s="9">
        <v>1965</v>
      </c>
    </row>
    <row r="5" spans="1:3" ht="18" customHeight="1">
      <c r="A5" s="12" t="s">
        <v>76</v>
      </c>
      <c r="B5" s="13">
        <v>9.49</v>
      </c>
      <c r="C5" s="1" t="s">
        <v>9</v>
      </c>
    </row>
    <row r="6" spans="1:7" ht="18.75" hidden="1">
      <c r="A6" s="14" t="s">
        <v>10</v>
      </c>
      <c r="B6" s="15">
        <v>363</v>
      </c>
      <c r="C6" s="16"/>
      <c r="D6" s="16"/>
      <c r="E6" s="16"/>
      <c r="F6" s="16"/>
      <c r="G6" s="16"/>
    </row>
    <row r="7" spans="1:7" ht="18.75" hidden="1">
      <c r="A7" s="14" t="s">
        <v>12</v>
      </c>
      <c r="B7" s="17">
        <v>0</v>
      </c>
      <c r="C7" s="16"/>
      <c r="D7" s="16"/>
      <c r="E7" s="16"/>
      <c r="F7" s="16"/>
      <c r="G7" s="16"/>
    </row>
    <row r="8" spans="1:7" ht="38.25" customHeight="1" hidden="1">
      <c r="A8" s="18" t="s">
        <v>13</v>
      </c>
      <c r="B8" s="19" t="s">
        <v>14</v>
      </c>
      <c r="C8" s="19" t="s">
        <v>15</v>
      </c>
      <c r="D8" s="19" t="s">
        <v>16</v>
      </c>
      <c r="E8" s="19" t="s">
        <v>17</v>
      </c>
      <c r="F8" s="16"/>
      <c r="G8" s="16"/>
    </row>
    <row r="9" spans="1:7" ht="20.25" customHeight="1" hidden="1">
      <c r="A9" s="14"/>
      <c r="B9" s="17">
        <v>730.5</v>
      </c>
      <c r="C9" s="17">
        <v>4885</v>
      </c>
      <c r="D9" s="17">
        <v>730.5</v>
      </c>
      <c r="E9" s="17">
        <v>4885</v>
      </c>
      <c r="F9" s="16"/>
      <c r="G9" s="16"/>
    </row>
    <row r="10" spans="1:7" ht="18.75" hidden="1">
      <c r="A10" s="14" t="s">
        <v>18</v>
      </c>
      <c r="B10" s="20">
        <v>0</v>
      </c>
      <c r="C10" s="16"/>
      <c r="D10" s="16"/>
      <c r="E10" s="16"/>
      <c r="F10" s="16"/>
      <c r="G10" s="16"/>
    </row>
    <row r="11" spans="1:7" ht="19.5" hidden="1">
      <c r="A11" s="14" t="s">
        <v>19</v>
      </c>
      <c r="B11" s="20">
        <v>1011.4</v>
      </c>
      <c r="C11" s="20">
        <v>940.1</v>
      </c>
      <c r="D11" s="20">
        <f>B11+C11</f>
        <v>1951.5</v>
      </c>
      <c r="E11" s="16"/>
      <c r="F11" s="16"/>
      <c r="G11" s="16"/>
    </row>
    <row r="12" spans="1:7" ht="50.25" customHeight="1" hidden="1">
      <c r="A12" s="14" t="s">
        <v>20</v>
      </c>
      <c r="B12" s="19" t="s">
        <v>21</v>
      </c>
      <c r="C12" s="21" t="s">
        <v>22</v>
      </c>
      <c r="D12" s="19" t="s">
        <v>23</v>
      </c>
      <c r="E12" s="22" t="s">
        <v>24</v>
      </c>
      <c r="F12" s="17" t="s">
        <v>25</v>
      </c>
      <c r="G12" s="16"/>
    </row>
    <row r="13" spans="1:7" ht="23.25" customHeight="1" hidden="1">
      <c r="A13" s="23"/>
      <c r="B13" s="24">
        <v>120</v>
      </c>
      <c r="C13" s="24">
        <v>120</v>
      </c>
      <c r="D13" s="24">
        <v>0</v>
      </c>
      <c r="E13" s="25">
        <f>D13+C13+B13</f>
        <v>240</v>
      </c>
      <c r="F13" s="17">
        <v>120</v>
      </c>
      <c r="G13" s="16"/>
    </row>
    <row r="14" spans="1:7" ht="18.75" customHeight="1">
      <c r="A14" s="26" t="s">
        <v>26</v>
      </c>
      <c r="B14" s="26"/>
      <c r="C14" s="26"/>
      <c r="D14" s="26"/>
      <c r="E14" s="26"/>
      <c r="F14" s="26"/>
      <c r="G14" s="27" t="s">
        <v>27</v>
      </c>
    </row>
    <row r="15" spans="1:7" ht="15.75">
      <c r="A15" s="28" t="s">
        <v>28</v>
      </c>
      <c r="B15" s="28"/>
      <c r="C15" s="28"/>
      <c r="D15" s="28"/>
      <c r="E15" s="28"/>
      <c r="F15" s="28"/>
      <c r="G15" s="29">
        <f>B6*7.012*4</f>
        <v>10181.423999999999</v>
      </c>
    </row>
    <row r="16" spans="1:7" ht="15.75" hidden="1">
      <c r="A16" s="28" t="s">
        <v>29</v>
      </c>
      <c r="B16" s="28"/>
      <c r="C16" s="28"/>
      <c r="D16" s="28"/>
      <c r="E16" s="28"/>
      <c r="F16" s="28"/>
      <c r="G16" s="29">
        <f>B7*35.705*12</f>
        <v>0</v>
      </c>
    </row>
    <row r="17" spans="1:7" ht="15.75" hidden="1">
      <c r="A17" s="28" t="s">
        <v>30</v>
      </c>
      <c r="B17" s="28"/>
      <c r="C17" s="28"/>
      <c r="D17" s="28"/>
      <c r="E17" s="28"/>
      <c r="F17" s="28"/>
      <c r="G17" s="29">
        <f>B10*0.3613*12</f>
        <v>0</v>
      </c>
    </row>
    <row r="18" spans="1:7" ht="15.75">
      <c r="A18" s="28" t="s">
        <v>31</v>
      </c>
      <c r="B18" s="28"/>
      <c r="C18" s="28"/>
      <c r="D18" s="28"/>
      <c r="E18" s="28"/>
      <c r="F18" s="28"/>
      <c r="G18" s="29">
        <f>(B9*9.46/100*64)+(C9*7.09/100*38)+(D9*23.66/100*26)+(E9*1.77/100*5)</f>
        <v>22509.972499999996</v>
      </c>
    </row>
    <row r="19" spans="1:7" ht="15.75" customHeight="1">
      <c r="A19" s="30" t="s">
        <v>32</v>
      </c>
      <c r="B19" s="30"/>
      <c r="C19" s="30"/>
      <c r="D19" s="30"/>
      <c r="E19" s="30"/>
      <c r="F19" s="30"/>
      <c r="G19" s="31">
        <f>1351099.03/347586*B3</f>
        <v>19684.237822927276</v>
      </c>
    </row>
    <row r="20" spans="1:7" ht="15.75">
      <c r="A20" s="28" t="s">
        <v>33</v>
      </c>
      <c r="B20" s="28"/>
      <c r="C20" s="28"/>
      <c r="D20" s="28"/>
      <c r="E20" s="28"/>
      <c r="F20" s="28"/>
      <c r="G20" s="29">
        <f>D11*0.14*2</f>
        <v>546.4200000000001</v>
      </c>
    </row>
    <row r="21" spans="1:7" ht="15.75">
      <c r="A21" s="28" t="s">
        <v>34</v>
      </c>
      <c r="B21" s="28"/>
      <c r="C21" s="28"/>
      <c r="D21" s="28"/>
      <c r="E21" s="28"/>
      <c r="F21" s="28"/>
      <c r="G21" s="29">
        <f>95.95+6117.12+6117.12+1583.09+6620.08</f>
        <v>20533.36</v>
      </c>
    </row>
    <row r="22" spans="1:7" ht="15.75">
      <c r="A22" s="28" t="s">
        <v>35</v>
      </c>
      <c r="B22" s="28"/>
      <c r="C22" s="28"/>
      <c r="D22" s="28"/>
      <c r="E22" s="28"/>
      <c r="F22" s="28"/>
      <c r="G22" s="29">
        <f>B3*0.845*4</f>
        <v>17116.32</v>
      </c>
    </row>
    <row r="23" spans="1:7" ht="15.75" hidden="1">
      <c r="A23" s="28" t="s">
        <v>36</v>
      </c>
      <c r="B23" s="28"/>
      <c r="C23" s="28"/>
      <c r="D23" s="28"/>
      <c r="E23" s="28"/>
      <c r="F23" s="28"/>
      <c r="G23" s="29">
        <v>0</v>
      </c>
    </row>
    <row r="24" spans="1:7" ht="15.75" hidden="1">
      <c r="A24" s="28" t="s">
        <v>37</v>
      </c>
      <c r="B24" s="28"/>
      <c r="C24" s="28"/>
      <c r="D24" s="28"/>
      <c r="E24" s="28"/>
      <c r="F24" s="28"/>
      <c r="G24" s="29">
        <v>0</v>
      </c>
    </row>
    <row r="25" spans="1:7" ht="15.75" hidden="1">
      <c r="A25" s="28" t="s">
        <v>38</v>
      </c>
      <c r="B25" s="28"/>
      <c r="C25" s="28"/>
      <c r="D25" s="28"/>
      <c r="E25" s="28"/>
      <c r="F25" s="28"/>
      <c r="G25" s="29">
        <v>0</v>
      </c>
    </row>
    <row r="26" spans="1:7" ht="15.75">
      <c r="A26" s="28" t="s">
        <v>39</v>
      </c>
      <c r="B26" s="28"/>
      <c r="C26" s="28"/>
      <c r="D26" s="28"/>
      <c r="E26" s="28"/>
      <c r="F26" s="28"/>
      <c r="G26" s="29">
        <f>2*352+1*251.46</f>
        <v>955.46</v>
      </c>
    </row>
    <row r="27" spans="1:7" ht="15.75" hidden="1">
      <c r="A27" s="28" t="s">
        <v>40</v>
      </c>
      <c r="B27" s="28"/>
      <c r="C27" s="28"/>
      <c r="D27" s="28"/>
      <c r="E27" s="28"/>
      <c r="F27" s="28"/>
      <c r="G27" s="29">
        <v>0</v>
      </c>
    </row>
    <row r="28" spans="1:7" ht="15.75" hidden="1">
      <c r="A28" s="28" t="s">
        <v>41</v>
      </c>
      <c r="B28" s="28"/>
      <c r="C28" s="28"/>
      <c r="D28" s="28"/>
      <c r="E28" s="28"/>
      <c r="F28" s="28"/>
      <c r="G28" s="29">
        <v>0</v>
      </c>
    </row>
    <row r="29" spans="1:7" ht="15.75" hidden="1">
      <c r="A29" s="28" t="s">
        <v>42</v>
      </c>
      <c r="B29" s="28"/>
      <c r="C29" s="28"/>
      <c r="D29" s="28"/>
      <c r="E29" s="28"/>
      <c r="F29" s="28"/>
      <c r="G29" s="29">
        <v>0</v>
      </c>
    </row>
    <row r="30" spans="1:7" ht="15.75">
      <c r="A30" s="28" t="s">
        <v>43</v>
      </c>
      <c r="B30" s="28"/>
      <c r="C30" s="28"/>
      <c r="D30" s="28"/>
      <c r="E30" s="28"/>
      <c r="F30" s="28"/>
      <c r="G30" s="29">
        <f>B3*1.75*4</f>
        <v>35448</v>
      </c>
    </row>
    <row r="31" spans="1:7" ht="15.75" customHeight="1">
      <c r="A31" s="30" t="s">
        <v>44</v>
      </c>
      <c r="B31" s="30"/>
      <c r="C31" s="30"/>
      <c r="D31" s="30"/>
      <c r="E31" s="30"/>
      <c r="F31" s="30"/>
      <c r="G31" s="29">
        <f>(F13*4*8.57)+(B13*2*3.14)+(C13*1*3.14)+(D13*1*3.14)</f>
        <v>5244.000000000001</v>
      </c>
    </row>
    <row r="32" spans="1:7" ht="15.75">
      <c r="A32" s="28" t="s">
        <v>45</v>
      </c>
      <c r="B32" s="28"/>
      <c r="C32" s="28"/>
      <c r="D32" s="28"/>
      <c r="E32" s="28"/>
      <c r="F32" s="28"/>
      <c r="G32" s="29">
        <f>B3*0.65*4</f>
        <v>13166.4</v>
      </c>
    </row>
    <row r="33" spans="1:7" ht="15.75">
      <c r="A33" s="28" t="s">
        <v>46</v>
      </c>
      <c r="B33" s="28"/>
      <c r="C33" s="28"/>
      <c r="D33" s="28"/>
      <c r="E33" s="28"/>
      <c r="F33" s="28"/>
      <c r="G33" s="29">
        <f>B3*0.2*4</f>
        <v>4051.2000000000003</v>
      </c>
    </row>
    <row r="34" spans="1:7" ht="15.75">
      <c r="A34" s="28" t="s">
        <v>47</v>
      </c>
      <c r="B34" s="28"/>
      <c r="C34" s="28"/>
      <c r="D34" s="28"/>
      <c r="E34" s="28"/>
      <c r="F34" s="28"/>
      <c r="G34" s="29">
        <f>B3*0.7*4</f>
        <v>14179.199999999999</v>
      </c>
    </row>
    <row r="35" spans="1:7" ht="15.75">
      <c r="A35" s="26" t="s">
        <v>48</v>
      </c>
      <c r="B35" s="26"/>
      <c r="C35" s="26"/>
      <c r="D35" s="26"/>
      <c r="E35" s="26"/>
      <c r="F35" s="26"/>
      <c r="G35" s="32">
        <f>G15+G16+G17+G18+G19+G20+G21+G22+G23+G24+G26+G30+G31+G32+G33+G34+G27+G28+G29+G25</f>
        <v>163615.99432292732</v>
      </c>
    </row>
    <row r="36" spans="1:7" ht="20.25" customHeight="1">
      <c r="A36" s="33" t="s">
        <v>49</v>
      </c>
      <c r="B36" s="33"/>
      <c r="C36" s="33"/>
      <c r="D36" s="33"/>
      <c r="E36" s="33"/>
      <c r="F36" s="33"/>
      <c r="G36" s="29"/>
    </row>
    <row r="37" spans="1:7" ht="15.75" hidden="1">
      <c r="A37" s="28" t="s">
        <v>50</v>
      </c>
      <c r="B37" s="28"/>
      <c r="C37" s="28"/>
      <c r="D37" s="28"/>
      <c r="E37" s="28"/>
      <c r="F37" s="28"/>
      <c r="G37" s="29"/>
    </row>
    <row r="38" spans="1:7" ht="15.75">
      <c r="A38" s="28" t="s">
        <v>51</v>
      </c>
      <c r="B38" s="28"/>
      <c r="C38" s="28"/>
      <c r="D38" s="28"/>
      <c r="E38" s="28"/>
      <c r="F38" s="28"/>
      <c r="G38" s="29"/>
    </row>
    <row r="39" spans="1:7" ht="15.75">
      <c r="A39" s="34" t="s">
        <v>52</v>
      </c>
      <c r="B39" s="34"/>
      <c r="C39" s="34"/>
      <c r="D39" s="34"/>
      <c r="E39" s="34"/>
      <c r="F39" s="34"/>
      <c r="G39" s="29">
        <v>20470</v>
      </c>
    </row>
    <row r="40" spans="1:7" ht="15.75" hidden="1">
      <c r="A40" s="34" t="s">
        <v>53</v>
      </c>
      <c r="B40" s="34"/>
      <c r="C40" s="34"/>
      <c r="D40" s="34"/>
      <c r="E40" s="34"/>
      <c r="F40" s="34"/>
      <c r="G40" s="29"/>
    </row>
    <row r="41" spans="1:7" ht="15.75">
      <c r="A41" s="34" t="s">
        <v>54</v>
      </c>
      <c r="B41" s="34"/>
      <c r="C41" s="34"/>
      <c r="D41" s="34"/>
      <c r="E41" s="34"/>
      <c r="F41" s="34"/>
      <c r="G41" s="29">
        <v>7070</v>
      </c>
    </row>
    <row r="42" spans="1:7" ht="15.75" hidden="1">
      <c r="A42" s="34" t="s">
        <v>55</v>
      </c>
      <c r="B42" s="34"/>
      <c r="C42" s="34"/>
      <c r="D42" s="34"/>
      <c r="E42" s="34"/>
      <c r="F42" s="34"/>
      <c r="G42" s="29"/>
    </row>
    <row r="43" spans="1:7" ht="15.75" hidden="1">
      <c r="A43" s="34" t="s">
        <v>56</v>
      </c>
      <c r="B43" s="34"/>
      <c r="C43" s="34"/>
      <c r="D43" s="34"/>
      <c r="E43" s="34"/>
      <c r="F43" s="34"/>
      <c r="G43" s="29"/>
    </row>
    <row r="44" spans="1:7" ht="15.75" hidden="1">
      <c r="A44" s="34" t="s">
        <v>57</v>
      </c>
      <c r="B44" s="34"/>
      <c r="C44" s="34"/>
      <c r="D44" s="34"/>
      <c r="E44" s="34"/>
      <c r="F44" s="34"/>
      <c r="G44" s="29"/>
    </row>
    <row r="45" spans="1:7" ht="15.75">
      <c r="A45" s="34" t="s">
        <v>58</v>
      </c>
      <c r="B45" s="34"/>
      <c r="C45" s="34"/>
      <c r="D45" s="34"/>
      <c r="E45" s="34"/>
      <c r="F45" s="34"/>
      <c r="G45" s="29">
        <v>168</v>
      </c>
    </row>
    <row r="46" spans="1:7" ht="15.75" hidden="1">
      <c r="A46" s="34" t="s">
        <v>59</v>
      </c>
      <c r="B46" s="34"/>
      <c r="C46" s="34"/>
      <c r="D46" s="34"/>
      <c r="E46" s="34"/>
      <c r="F46" s="34"/>
      <c r="G46" s="29"/>
    </row>
    <row r="47" spans="1:7" ht="15.75" hidden="1">
      <c r="A47" s="34" t="s">
        <v>60</v>
      </c>
      <c r="B47" s="34"/>
      <c r="C47" s="34"/>
      <c r="D47" s="34"/>
      <c r="E47" s="34"/>
      <c r="F47" s="34"/>
      <c r="G47" s="29"/>
    </row>
    <row r="48" spans="1:7" ht="15.75" hidden="1">
      <c r="A48" s="34" t="s">
        <v>61</v>
      </c>
      <c r="B48" s="34"/>
      <c r="C48" s="34"/>
      <c r="D48" s="34"/>
      <c r="E48" s="34"/>
      <c r="F48" s="34"/>
      <c r="G48" s="29"/>
    </row>
    <row r="49" spans="1:7" ht="15.75" hidden="1">
      <c r="A49" s="34" t="s">
        <v>62</v>
      </c>
      <c r="B49" s="34"/>
      <c r="C49" s="34"/>
      <c r="D49" s="34"/>
      <c r="E49" s="34"/>
      <c r="F49" s="34"/>
      <c r="G49" s="29"/>
    </row>
    <row r="50" spans="1:7" ht="15.75">
      <c r="A50" s="34" t="s">
        <v>63</v>
      </c>
      <c r="B50" s="34"/>
      <c r="C50" s="34"/>
      <c r="D50" s="34"/>
      <c r="E50" s="34"/>
      <c r="F50" s="34"/>
      <c r="G50" s="29">
        <v>4360</v>
      </c>
    </row>
    <row r="51" spans="1:7" ht="15.75" hidden="1">
      <c r="A51" s="34" t="s">
        <v>64</v>
      </c>
      <c r="B51" s="34"/>
      <c r="C51" s="34"/>
      <c r="D51" s="34"/>
      <c r="E51" s="34"/>
      <c r="F51" s="34"/>
      <c r="G51" s="29"/>
    </row>
    <row r="52" spans="1:7" ht="15.75" hidden="1">
      <c r="A52" s="34" t="s">
        <v>65</v>
      </c>
      <c r="B52" s="34"/>
      <c r="C52" s="34"/>
      <c r="D52" s="34"/>
      <c r="E52" s="34"/>
      <c r="F52" s="34"/>
      <c r="G52" s="29"/>
    </row>
    <row r="53" spans="1:7" ht="18.75" customHeight="1">
      <c r="A53" s="33" t="s">
        <v>66</v>
      </c>
      <c r="B53" s="33"/>
      <c r="C53" s="33"/>
      <c r="D53" s="33"/>
      <c r="E53" s="33"/>
      <c r="F53" s="33"/>
      <c r="G53" s="32">
        <f>G39+G40+G41+G42+G43+G44+G45+G46+G47+G48+G49+G50+G51+G52</f>
        <v>32068</v>
      </c>
    </row>
    <row r="54" spans="1:7" ht="21" customHeight="1">
      <c r="A54" s="33" t="s">
        <v>67</v>
      </c>
      <c r="B54" s="33"/>
      <c r="C54" s="33"/>
      <c r="D54" s="33"/>
      <c r="E54" s="33"/>
      <c r="F54" s="33"/>
      <c r="G54" s="32">
        <f>G35+G53</f>
        <v>195683.99432292732</v>
      </c>
    </row>
    <row r="55" spans="1:7" ht="15.75">
      <c r="A55" s="28" t="s">
        <v>68</v>
      </c>
      <c r="B55" s="28"/>
      <c r="C55" s="28"/>
      <c r="D55" s="28"/>
      <c r="E55" s="28"/>
      <c r="F55" s="28"/>
      <c r="G55" s="29">
        <v>-6088.06</v>
      </c>
    </row>
    <row r="56" spans="1:7" ht="15.75">
      <c r="A56" s="41" t="s">
        <v>69</v>
      </c>
      <c r="B56" s="41"/>
      <c r="C56" s="41"/>
      <c r="D56" s="41"/>
      <c r="E56" s="41"/>
      <c r="F56" s="41"/>
      <c r="G56" s="29">
        <f>281.58*4+141.6*4+180*4</f>
        <v>2412.72</v>
      </c>
    </row>
    <row r="57" spans="1:7" ht="15.75" customHeight="1">
      <c r="A57" s="42" t="s">
        <v>70</v>
      </c>
      <c r="B57" s="42"/>
      <c r="C57" s="42"/>
      <c r="D57" s="42"/>
      <c r="E57" s="42"/>
      <c r="F57" s="42"/>
      <c r="G57" s="32">
        <f>B3*B5*4+G56</f>
        <v>194642.16</v>
      </c>
    </row>
    <row r="58" spans="1:7" ht="15.75" customHeight="1">
      <c r="A58" s="43" t="s">
        <v>71</v>
      </c>
      <c r="B58" s="43"/>
      <c r="C58" s="43"/>
      <c r="D58" s="43"/>
      <c r="E58" s="43"/>
      <c r="F58" s="43"/>
      <c r="G58" s="44">
        <v>25839.04</v>
      </c>
    </row>
    <row r="59" spans="1:7" ht="62.25" customHeight="1">
      <c r="A59" s="33" t="s">
        <v>80</v>
      </c>
      <c r="B59" s="33"/>
      <c r="C59" s="33"/>
      <c r="D59" s="33"/>
      <c r="E59" s="33"/>
      <c r="F59" s="33"/>
      <c r="G59" s="32">
        <f>G54-G57+G58-G55</f>
        <v>32968.934322927314</v>
      </c>
    </row>
  </sheetData>
  <sheetProtection selectLockedCells="1" selectUnlockedCells="1"/>
  <mergeCells count="48">
    <mergeCell ref="A1:G1"/>
    <mergeCell ref="B2:E2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0"/>
  </sheetPr>
  <dimension ref="A1:G59"/>
  <sheetViews>
    <sheetView zoomScale="75" zoomScaleNormal="75" workbookViewId="0" topLeftCell="A18">
      <pane ySplit="65535" topLeftCell="A18" activePane="topLeft" state="split"/>
      <selection pane="topLeft" activeCell="G58" activeCellId="1" sqref="A77:G138 G58"/>
      <selection pane="bottomLeft" activeCell="A18" sqref="A18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4.421875" style="1" customWidth="1"/>
    <col min="8" max="16384" width="9.140625" style="1" customWidth="1"/>
  </cols>
  <sheetData>
    <row r="1" spans="1:7" ht="40.5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73</v>
      </c>
      <c r="B2" s="7" t="s">
        <v>107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75</v>
      </c>
      <c r="B3" s="10">
        <v>3385.2</v>
      </c>
      <c r="F3" s="8" t="s">
        <v>5</v>
      </c>
      <c r="G3" s="11">
        <v>4</v>
      </c>
    </row>
    <row r="4" spans="1:7" ht="18.75">
      <c r="A4" s="12" t="s">
        <v>76</v>
      </c>
      <c r="B4" s="13"/>
      <c r="F4" s="8" t="s">
        <v>8</v>
      </c>
      <c r="G4" s="9">
        <v>1964</v>
      </c>
    </row>
    <row r="5" spans="1:3" ht="18" customHeight="1">
      <c r="A5" s="12" t="s">
        <v>76</v>
      </c>
      <c r="B5" s="13">
        <v>9.49</v>
      </c>
      <c r="C5" s="1" t="s">
        <v>9</v>
      </c>
    </row>
    <row r="6" spans="1:7" ht="18.75" hidden="1">
      <c r="A6" s="14" t="s">
        <v>10</v>
      </c>
      <c r="B6" s="15">
        <v>241.7</v>
      </c>
      <c r="C6" s="16"/>
      <c r="D6" s="16"/>
      <c r="E6" s="16"/>
      <c r="F6" s="16"/>
      <c r="G6" s="16"/>
    </row>
    <row r="7" spans="1:7" ht="18.75" hidden="1">
      <c r="A7" s="14" t="s">
        <v>12</v>
      </c>
      <c r="B7" s="17">
        <v>0</v>
      </c>
      <c r="C7" s="16"/>
      <c r="D7" s="16"/>
      <c r="E7" s="16"/>
      <c r="F7" s="16"/>
      <c r="G7" s="16"/>
    </row>
    <row r="8" spans="1:7" ht="38.25" customHeight="1" hidden="1">
      <c r="A8" s="18" t="s">
        <v>13</v>
      </c>
      <c r="B8" s="19" t="s">
        <v>14</v>
      </c>
      <c r="C8" s="19" t="s">
        <v>15</v>
      </c>
      <c r="D8" s="19" t="s">
        <v>16</v>
      </c>
      <c r="E8" s="19" t="s">
        <v>17</v>
      </c>
      <c r="F8" s="16"/>
      <c r="G8" s="16"/>
    </row>
    <row r="9" spans="1:7" ht="20.25" customHeight="1" hidden="1">
      <c r="A9" s="14"/>
      <c r="B9" s="17">
        <v>791</v>
      </c>
      <c r="C9" s="17">
        <v>2799</v>
      </c>
      <c r="D9" s="17">
        <v>791</v>
      </c>
      <c r="E9" s="17">
        <v>2799</v>
      </c>
      <c r="F9" s="16"/>
      <c r="G9" s="16"/>
    </row>
    <row r="10" spans="1:7" ht="18.75" hidden="1">
      <c r="A10" s="14" t="s">
        <v>18</v>
      </c>
      <c r="B10" s="20">
        <v>0</v>
      </c>
      <c r="C10" s="16"/>
      <c r="D10" s="16"/>
      <c r="E10" s="16"/>
      <c r="F10" s="16"/>
      <c r="G10" s="16"/>
    </row>
    <row r="11" spans="1:7" ht="19.5" hidden="1">
      <c r="A11" s="14" t="s">
        <v>19</v>
      </c>
      <c r="B11" s="20">
        <v>704.4</v>
      </c>
      <c r="C11" s="20">
        <v>629.7</v>
      </c>
      <c r="D11" s="20">
        <f>B11+C11</f>
        <v>1334.1</v>
      </c>
      <c r="E11" s="16"/>
      <c r="F11" s="16"/>
      <c r="G11" s="16"/>
    </row>
    <row r="12" spans="1:7" ht="50.25" customHeight="1" hidden="1">
      <c r="A12" s="14" t="s">
        <v>20</v>
      </c>
      <c r="B12" s="19" t="s">
        <v>21</v>
      </c>
      <c r="C12" s="21" t="s">
        <v>22</v>
      </c>
      <c r="D12" s="19" t="s">
        <v>23</v>
      </c>
      <c r="E12" s="22" t="s">
        <v>24</v>
      </c>
      <c r="F12" s="17" t="s">
        <v>25</v>
      </c>
      <c r="G12" s="16"/>
    </row>
    <row r="13" spans="1:7" ht="23.25" customHeight="1" hidden="1">
      <c r="A13" s="23"/>
      <c r="B13" s="24">
        <v>80</v>
      </c>
      <c r="C13" s="24">
        <v>80</v>
      </c>
      <c r="D13" s="24">
        <v>0</v>
      </c>
      <c r="E13" s="25">
        <f>D13+C13+B13</f>
        <v>160</v>
      </c>
      <c r="F13" s="17">
        <v>80</v>
      </c>
      <c r="G13" s="16"/>
    </row>
    <row r="14" spans="1:7" ht="18.75" customHeight="1">
      <c r="A14" s="26" t="s">
        <v>26</v>
      </c>
      <c r="B14" s="26"/>
      <c r="C14" s="26"/>
      <c r="D14" s="26"/>
      <c r="E14" s="26"/>
      <c r="F14" s="26"/>
      <c r="G14" s="27" t="s">
        <v>27</v>
      </c>
    </row>
    <row r="15" spans="1:7" ht="15.75">
      <c r="A15" s="28" t="s">
        <v>28</v>
      </c>
      <c r="B15" s="28"/>
      <c r="C15" s="28"/>
      <c r="D15" s="28"/>
      <c r="E15" s="28"/>
      <c r="F15" s="28"/>
      <c r="G15" s="29">
        <f>B6*7.012*4</f>
        <v>6779.201599999999</v>
      </c>
    </row>
    <row r="16" spans="1:7" ht="15.75" hidden="1">
      <c r="A16" s="28" t="s">
        <v>29</v>
      </c>
      <c r="B16" s="28"/>
      <c r="C16" s="28"/>
      <c r="D16" s="28"/>
      <c r="E16" s="28"/>
      <c r="F16" s="28"/>
      <c r="G16" s="29">
        <f>B7*35.705*12</f>
        <v>0</v>
      </c>
    </row>
    <row r="17" spans="1:7" ht="15.75" hidden="1">
      <c r="A17" s="28" t="s">
        <v>30</v>
      </c>
      <c r="B17" s="28"/>
      <c r="C17" s="28"/>
      <c r="D17" s="28"/>
      <c r="E17" s="28"/>
      <c r="F17" s="28"/>
      <c r="G17" s="29">
        <f>B10*0.3613*12</f>
        <v>0</v>
      </c>
    </row>
    <row r="18" spans="1:7" ht="15.75">
      <c r="A18" s="28" t="s">
        <v>31</v>
      </c>
      <c r="B18" s="28"/>
      <c r="C18" s="28"/>
      <c r="D18" s="28"/>
      <c r="E18" s="28"/>
      <c r="F18" s="28"/>
      <c r="G18" s="29">
        <f>(B9*9.46/100*64)+(C9*7.09/100*38)+(D9*23.66/100*26)+(E9*1.77/100*5)</f>
        <v>17443.7233</v>
      </c>
    </row>
    <row r="19" spans="1:7" ht="15.75" customHeight="1">
      <c r="A19" s="30" t="s">
        <v>32</v>
      </c>
      <c r="B19" s="30"/>
      <c r="C19" s="30"/>
      <c r="D19" s="30"/>
      <c r="E19" s="30"/>
      <c r="F19" s="30"/>
      <c r="G19" s="31">
        <f>574906.73/199064.79*B3</f>
        <v>9776.587122192728</v>
      </c>
    </row>
    <row r="20" spans="1:7" ht="15.75">
      <c r="A20" s="28" t="s">
        <v>33</v>
      </c>
      <c r="B20" s="28"/>
      <c r="C20" s="28"/>
      <c r="D20" s="28"/>
      <c r="E20" s="28"/>
      <c r="F20" s="28"/>
      <c r="G20" s="29">
        <f>D11*0.14*2</f>
        <v>373.548</v>
      </c>
    </row>
    <row r="21" spans="1:7" ht="15.75">
      <c r="A21" s="28" t="s">
        <v>34</v>
      </c>
      <c r="B21" s="28"/>
      <c r="C21" s="28"/>
      <c r="D21" s="28"/>
      <c r="E21" s="28"/>
      <c r="F21" s="28"/>
      <c r="G21" s="29">
        <f>95.95+4078.08+4078.08+1055.39+4413.39</f>
        <v>13720.89</v>
      </c>
    </row>
    <row r="22" spans="1:7" ht="15.75">
      <c r="A22" s="28" t="s">
        <v>35</v>
      </c>
      <c r="B22" s="28"/>
      <c r="C22" s="28"/>
      <c r="D22" s="28"/>
      <c r="E22" s="28"/>
      <c r="F22" s="28"/>
      <c r="G22" s="29">
        <f>B3*0.845*4</f>
        <v>11441.975999999999</v>
      </c>
    </row>
    <row r="23" spans="1:7" ht="15.75" hidden="1">
      <c r="A23" s="28" t="s">
        <v>36</v>
      </c>
      <c r="B23" s="28"/>
      <c r="C23" s="28"/>
      <c r="D23" s="28"/>
      <c r="E23" s="28"/>
      <c r="F23" s="28"/>
      <c r="G23" s="29">
        <v>0</v>
      </c>
    </row>
    <row r="24" spans="1:7" ht="15.75" hidden="1">
      <c r="A24" s="28" t="s">
        <v>37</v>
      </c>
      <c r="B24" s="28"/>
      <c r="C24" s="28"/>
      <c r="D24" s="28"/>
      <c r="E24" s="28"/>
      <c r="F24" s="28"/>
      <c r="G24" s="29">
        <v>0</v>
      </c>
    </row>
    <row r="25" spans="1:7" ht="15.75" hidden="1">
      <c r="A25" s="28" t="s">
        <v>38</v>
      </c>
      <c r="B25" s="28"/>
      <c r="C25" s="28"/>
      <c r="D25" s="28"/>
      <c r="E25" s="28"/>
      <c r="F25" s="28"/>
      <c r="G25" s="29">
        <v>0</v>
      </c>
    </row>
    <row r="26" spans="1:7" ht="15.75">
      <c r="A26" s="28" t="s">
        <v>39</v>
      </c>
      <c r="B26" s="28"/>
      <c r="C26" s="28"/>
      <c r="D26" s="28"/>
      <c r="E26" s="28"/>
      <c r="F26" s="28"/>
      <c r="G26" s="29">
        <f>3*352+4*251.46+633.58</f>
        <v>2695.42</v>
      </c>
    </row>
    <row r="27" spans="1:7" ht="15.75" hidden="1">
      <c r="A27" s="28" t="s">
        <v>40</v>
      </c>
      <c r="B27" s="28"/>
      <c r="C27" s="28"/>
      <c r="D27" s="28"/>
      <c r="E27" s="28"/>
      <c r="F27" s="28"/>
      <c r="G27" s="29">
        <v>0</v>
      </c>
    </row>
    <row r="28" spans="1:7" ht="15.75" hidden="1">
      <c r="A28" s="28" t="s">
        <v>41</v>
      </c>
      <c r="B28" s="28"/>
      <c r="C28" s="28"/>
      <c r="D28" s="28"/>
      <c r="E28" s="28"/>
      <c r="F28" s="28"/>
      <c r="G28" s="29">
        <v>0</v>
      </c>
    </row>
    <row r="29" spans="1:7" ht="15.75" hidden="1">
      <c r="A29" s="28" t="s">
        <v>42</v>
      </c>
      <c r="B29" s="28"/>
      <c r="C29" s="28"/>
      <c r="D29" s="28"/>
      <c r="E29" s="28"/>
      <c r="F29" s="28"/>
      <c r="G29" s="29">
        <v>0</v>
      </c>
    </row>
    <row r="30" spans="1:7" ht="15.75">
      <c r="A30" s="28" t="s">
        <v>43</v>
      </c>
      <c r="B30" s="28"/>
      <c r="C30" s="28"/>
      <c r="D30" s="28"/>
      <c r="E30" s="28"/>
      <c r="F30" s="28"/>
      <c r="G30" s="29">
        <f>B3*1.75*4</f>
        <v>23696.399999999998</v>
      </c>
    </row>
    <row r="31" spans="1:7" ht="15.75" customHeight="1">
      <c r="A31" s="30" t="s">
        <v>44</v>
      </c>
      <c r="B31" s="30"/>
      <c r="C31" s="30"/>
      <c r="D31" s="30"/>
      <c r="E31" s="30"/>
      <c r="F31" s="30"/>
      <c r="G31" s="29">
        <f>(F13*4*8.57)+(B13*2*3.14)+(C13*1*3.14)+(D13*1*3.14)</f>
        <v>3496</v>
      </c>
    </row>
    <row r="32" spans="1:7" ht="15.75">
      <c r="A32" s="28" t="s">
        <v>45</v>
      </c>
      <c r="B32" s="28"/>
      <c r="C32" s="28"/>
      <c r="D32" s="28"/>
      <c r="E32" s="28"/>
      <c r="F32" s="28"/>
      <c r="G32" s="29">
        <f>B3*0.65*4</f>
        <v>8801.52</v>
      </c>
    </row>
    <row r="33" spans="1:7" ht="15.75">
      <c r="A33" s="28" t="s">
        <v>46</v>
      </c>
      <c r="B33" s="28"/>
      <c r="C33" s="28"/>
      <c r="D33" s="28"/>
      <c r="E33" s="28"/>
      <c r="F33" s="28"/>
      <c r="G33" s="29">
        <f>B3*0.2*4</f>
        <v>2708.16</v>
      </c>
    </row>
    <row r="34" spans="1:7" ht="15.75">
      <c r="A34" s="28" t="s">
        <v>47</v>
      </c>
      <c r="B34" s="28"/>
      <c r="C34" s="28"/>
      <c r="D34" s="28"/>
      <c r="E34" s="28"/>
      <c r="F34" s="28"/>
      <c r="G34" s="29">
        <f>B3*0.7*4</f>
        <v>9478.56</v>
      </c>
    </row>
    <row r="35" spans="1:7" ht="15.75">
      <c r="A35" s="26" t="s">
        <v>48</v>
      </c>
      <c r="B35" s="26"/>
      <c r="C35" s="26"/>
      <c r="D35" s="26"/>
      <c r="E35" s="26"/>
      <c r="F35" s="26"/>
      <c r="G35" s="32">
        <f>G15+G16+G17+G18+G19+G20+G21+G22+G23+G24+G26+G30+G31+G32+G33+G34+G27+G28+G29+G25</f>
        <v>110411.98602219272</v>
      </c>
    </row>
    <row r="36" spans="1:7" ht="20.25" customHeight="1">
      <c r="A36" s="33" t="s">
        <v>49</v>
      </c>
      <c r="B36" s="33"/>
      <c r="C36" s="33"/>
      <c r="D36" s="33"/>
      <c r="E36" s="33"/>
      <c r="F36" s="33"/>
      <c r="G36" s="29"/>
    </row>
    <row r="37" spans="1:7" ht="15.75" hidden="1">
      <c r="A37" s="28" t="s">
        <v>50</v>
      </c>
      <c r="B37" s="28"/>
      <c r="C37" s="28"/>
      <c r="D37" s="28"/>
      <c r="E37" s="28"/>
      <c r="F37" s="28"/>
      <c r="G37" s="29"/>
    </row>
    <row r="38" spans="1:7" ht="15.75">
      <c r="A38" s="28" t="s">
        <v>51</v>
      </c>
      <c r="B38" s="28"/>
      <c r="C38" s="28"/>
      <c r="D38" s="28"/>
      <c r="E38" s="28"/>
      <c r="F38" s="28"/>
      <c r="G38" s="29"/>
    </row>
    <row r="39" spans="1:7" ht="15.75" hidden="1">
      <c r="A39" s="34" t="s">
        <v>52</v>
      </c>
      <c r="B39" s="34"/>
      <c r="C39" s="34"/>
      <c r="D39" s="34"/>
      <c r="E39" s="34"/>
      <c r="F39" s="34"/>
      <c r="G39" s="29"/>
    </row>
    <row r="40" spans="1:7" ht="15.75" hidden="1">
      <c r="A40" s="34" t="s">
        <v>53</v>
      </c>
      <c r="B40" s="34"/>
      <c r="C40" s="34"/>
      <c r="D40" s="34"/>
      <c r="E40" s="34"/>
      <c r="F40" s="34"/>
      <c r="G40" s="29"/>
    </row>
    <row r="41" spans="1:7" ht="15.75" hidden="1">
      <c r="A41" s="34" t="s">
        <v>54</v>
      </c>
      <c r="B41" s="34"/>
      <c r="C41" s="34"/>
      <c r="D41" s="34"/>
      <c r="E41" s="34"/>
      <c r="F41" s="34"/>
      <c r="G41" s="29"/>
    </row>
    <row r="42" spans="1:7" ht="15.75" hidden="1">
      <c r="A42" s="34" t="s">
        <v>55</v>
      </c>
      <c r="B42" s="34"/>
      <c r="C42" s="34"/>
      <c r="D42" s="34"/>
      <c r="E42" s="34"/>
      <c r="F42" s="34"/>
      <c r="G42" s="29"/>
    </row>
    <row r="43" spans="1:7" ht="15.75" hidden="1">
      <c r="A43" s="34" t="s">
        <v>56</v>
      </c>
      <c r="B43" s="34"/>
      <c r="C43" s="34"/>
      <c r="D43" s="34"/>
      <c r="E43" s="34"/>
      <c r="F43" s="34"/>
      <c r="G43" s="29"/>
    </row>
    <row r="44" spans="1:7" ht="15.75" hidden="1">
      <c r="A44" s="34" t="s">
        <v>57</v>
      </c>
      <c r="B44" s="34"/>
      <c r="C44" s="34"/>
      <c r="D44" s="34"/>
      <c r="E44" s="34"/>
      <c r="F44" s="34"/>
      <c r="G44" s="29"/>
    </row>
    <row r="45" spans="1:7" ht="15.75">
      <c r="A45" s="34" t="s">
        <v>58</v>
      </c>
      <c r="B45" s="34"/>
      <c r="C45" s="34"/>
      <c r="D45" s="34"/>
      <c r="E45" s="34"/>
      <c r="F45" s="34"/>
      <c r="G45" s="29">
        <v>168</v>
      </c>
    </row>
    <row r="46" spans="1:7" ht="15.75" hidden="1">
      <c r="A46" s="34" t="s">
        <v>59</v>
      </c>
      <c r="B46" s="34"/>
      <c r="C46" s="34"/>
      <c r="D46" s="34"/>
      <c r="E46" s="34"/>
      <c r="F46" s="34"/>
      <c r="G46" s="29"/>
    </row>
    <row r="47" spans="1:7" ht="15.75" hidden="1">
      <c r="A47" s="34" t="s">
        <v>60</v>
      </c>
      <c r="B47" s="34"/>
      <c r="C47" s="34"/>
      <c r="D47" s="34"/>
      <c r="E47" s="34"/>
      <c r="F47" s="34"/>
      <c r="G47" s="29"/>
    </row>
    <row r="48" spans="1:7" ht="15.75" hidden="1">
      <c r="A48" s="34" t="s">
        <v>61</v>
      </c>
      <c r="B48" s="34"/>
      <c r="C48" s="34"/>
      <c r="D48" s="34"/>
      <c r="E48" s="34"/>
      <c r="F48" s="34"/>
      <c r="G48" s="29"/>
    </row>
    <row r="49" spans="1:7" ht="15.75" hidden="1">
      <c r="A49" s="34" t="s">
        <v>62</v>
      </c>
      <c r="B49" s="34"/>
      <c r="C49" s="34"/>
      <c r="D49" s="34"/>
      <c r="E49" s="34"/>
      <c r="F49" s="34"/>
      <c r="G49" s="29"/>
    </row>
    <row r="50" spans="1:7" ht="15.75">
      <c r="A50" s="34" t="s">
        <v>63</v>
      </c>
      <c r="B50" s="34"/>
      <c r="C50" s="34"/>
      <c r="D50" s="34"/>
      <c r="E50" s="34"/>
      <c r="F50" s="34"/>
      <c r="G50" s="29">
        <v>3850</v>
      </c>
    </row>
    <row r="51" spans="1:7" ht="15.75" hidden="1">
      <c r="A51" s="34" t="s">
        <v>64</v>
      </c>
      <c r="B51" s="34"/>
      <c r="C51" s="34"/>
      <c r="D51" s="34"/>
      <c r="E51" s="34"/>
      <c r="F51" s="34"/>
      <c r="G51" s="29"/>
    </row>
    <row r="52" spans="1:7" ht="15.75" hidden="1">
      <c r="A52" s="34" t="s">
        <v>65</v>
      </c>
      <c r="B52" s="34"/>
      <c r="C52" s="34"/>
      <c r="D52" s="34"/>
      <c r="E52" s="34"/>
      <c r="F52" s="34"/>
      <c r="G52" s="29"/>
    </row>
    <row r="53" spans="1:7" ht="18.75" customHeight="1">
      <c r="A53" s="33" t="s">
        <v>66</v>
      </c>
      <c r="B53" s="33"/>
      <c r="C53" s="33"/>
      <c r="D53" s="33"/>
      <c r="E53" s="33"/>
      <c r="F53" s="33"/>
      <c r="G53" s="32">
        <f>G39+G40+G41+G42+G43+G44+G45+G46+G47+G48+G49+G50+G51+G52</f>
        <v>4018</v>
      </c>
    </row>
    <row r="54" spans="1:7" ht="21" customHeight="1">
      <c r="A54" s="33" t="s">
        <v>67</v>
      </c>
      <c r="B54" s="33"/>
      <c r="C54" s="33"/>
      <c r="D54" s="33"/>
      <c r="E54" s="33"/>
      <c r="F54" s="33"/>
      <c r="G54" s="32">
        <f>G35+G53</f>
        <v>114429.98602219272</v>
      </c>
    </row>
    <row r="55" spans="1:7" ht="15.75">
      <c r="A55" s="28" t="s">
        <v>68</v>
      </c>
      <c r="B55" s="28"/>
      <c r="C55" s="28"/>
      <c r="D55" s="28"/>
      <c r="E55" s="28"/>
      <c r="F55" s="28"/>
      <c r="G55" s="29">
        <v>-7918.77</v>
      </c>
    </row>
    <row r="56" spans="1:7" ht="15.75">
      <c r="A56" s="41" t="s">
        <v>69</v>
      </c>
      <c r="B56" s="41"/>
      <c r="C56" s="41"/>
      <c r="D56" s="41"/>
      <c r="E56" s="41"/>
      <c r="F56" s="41"/>
      <c r="G56" s="29">
        <f>281.58*4+141.6*4+180*4</f>
        <v>2412.72</v>
      </c>
    </row>
    <row r="57" spans="1:7" ht="15.75" customHeight="1">
      <c r="A57" s="42" t="s">
        <v>70</v>
      </c>
      <c r="B57" s="42"/>
      <c r="C57" s="42"/>
      <c r="D57" s="42"/>
      <c r="E57" s="42"/>
      <c r="F57" s="42"/>
      <c r="G57" s="32">
        <f>B3*B5*4+G56</f>
        <v>130914.912</v>
      </c>
    </row>
    <row r="58" spans="1:7" ht="15.75" customHeight="1">
      <c r="A58" s="43" t="s">
        <v>71</v>
      </c>
      <c r="B58" s="43"/>
      <c r="C58" s="43"/>
      <c r="D58" s="43"/>
      <c r="E58" s="43"/>
      <c r="F58" s="43"/>
      <c r="G58" s="44">
        <v>15895.79</v>
      </c>
    </row>
    <row r="59" spans="1:7" ht="58.5" customHeight="1">
      <c r="A59" s="33" t="s">
        <v>80</v>
      </c>
      <c r="B59" s="33"/>
      <c r="C59" s="33"/>
      <c r="D59" s="33"/>
      <c r="E59" s="33"/>
      <c r="F59" s="33"/>
      <c r="G59" s="32">
        <f>G54-G57+G58-G55</f>
        <v>7329.634022192728</v>
      </c>
    </row>
  </sheetData>
  <sheetProtection selectLockedCells="1" selectUnlockedCells="1"/>
  <mergeCells count="48">
    <mergeCell ref="A1:G1"/>
    <mergeCell ref="B2:E2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0"/>
  </sheetPr>
  <dimension ref="A1:G59"/>
  <sheetViews>
    <sheetView zoomScale="75" zoomScaleNormal="75" workbookViewId="0" topLeftCell="A26">
      <pane ySplit="65535" topLeftCell="A26" activePane="topLeft" state="split"/>
      <selection pane="topLeft" activeCell="G58" activeCellId="1" sqref="A77:G138 G58"/>
      <selection pane="bottomLeft" activeCell="A26" sqref="A26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4.140625" style="1" customWidth="1"/>
    <col min="8" max="16384" width="9.140625" style="1" customWidth="1"/>
  </cols>
  <sheetData>
    <row r="1" spans="1:7" ht="40.5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73</v>
      </c>
      <c r="B2" s="7" t="s">
        <v>108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75</v>
      </c>
      <c r="B3" s="10">
        <v>5027.8</v>
      </c>
      <c r="F3" s="8" t="s">
        <v>5</v>
      </c>
      <c r="G3" s="11">
        <v>6</v>
      </c>
    </row>
    <row r="4" spans="1:7" ht="18.75">
      <c r="A4" s="12" t="s">
        <v>76</v>
      </c>
      <c r="B4" s="13"/>
      <c r="F4" s="8" t="s">
        <v>8</v>
      </c>
      <c r="G4" s="9">
        <v>1965</v>
      </c>
    </row>
    <row r="5" spans="1:3" ht="18" customHeight="1">
      <c r="A5" s="12" t="s">
        <v>76</v>
      </c>
      <c r="B5" s="13">
        <v>9.49</v>
      </c>
      <c r="C5" s="1" t="s">
        <v>9</v>
      </c>
    </row>
    <row r="6" spans="1:7" ht="18.75" hidden="1">
      <c r="A6" s="14" t="s">
        <v>10</v>
      </c>
      <c r="B6" s="15">
        <v>366</v>
      </c>
      <c r="C6" s="16"/>
      <c r="D6" s="16"/>
      <c r="E6" s="16"/>
      <c r="F6" s="16"/>
      <c r="G6" s="16"/>
    </row>
    <row r="7" spans="1:7" ht="18.75" hidden="1">
      <c r="A7" s="14" t="s">
        <v>12</v>
      </c>
      <c r="B7" s="17">
        <v>0</v>
      </c>
      <c r="C7" s="16"/>
      <c r="D7" s="16"/>
      <c r="E7" s="16"/>
      <c r="F7" s="16"/>
      <c r="G7" s="16"/>
    </row>
    <row r="8" spans="1:7" ht="38.25" customHeight="1" hidden="1">
      <c r="A8" s="18" t="s">
        <v>13</v>
      </c>
      <c r="B8" s="19" t="s">
        <v>14</v>
      </c>
      <c r="C8" s="19" t="s">
        <v>15</v>
      </c>
      <c r="D8" s="19" t="s">
        <v>16</v>
      </c>
      <c r="E8" s="19" t="s">
        <v>17</v>
      </c>
      <c r="F8" s="16"/>
      <c r="G8" s="16"/>
    </row>
    <row r="9" spans="1:7" ht="20.25" customHeight="1" hidden="1">
      <c r="A9" s="14"/>
      <c r="B9" s="17">
        <v>759</v>
      </c>
      <c r="C9" s="17">
        <v>5079</v>
      </c>
      <c r="D9" s="17">
        <v>759</v>
      </c>
      <c r="E9" s="17">
        <v>5079</v>
      </c>
      <c r="F9" s="16"/>
      <c r="G9" s="16"/>
    </row>
    <row r="10" spans="1:7" ht="18.75" hidden="1">
      <c r="A10" s="14" t="s">
        <v>18</v>
      </c>
      <c r="B10" s="20">
        <v>0</v>
      </c>
      <c r="C10" s="16"/>
      <c r="D10" s="16"/>
      <c r="E10" s="16"/>
      <c r="F10" s="16"/>
      <c r="G10" s="16"/>
    </row>
    <row r="11" spans="1:7" ht="19.5" hidden="1">
      <c r="A11" s="14" t="s">
        <v>19</v>
      </c>
      <c r="B11" s="20">
        <v>1014.4</v>
      </c>
      <c r="C11" s="20">
        <v>932.4</v>
      </c>
      <c r="D11" s="20">
        <f>B11+C11</f>
        <v>1946.8</v>
      </c>
      <c r="E11" s="16"/>
      <c r="F11" s="16"/>
      <c r="G11" s="16"/>
    </row>
    <row r="12" spans="1:7" ht="50.25" customHeight="1" hidden="1">
      <c r="A12" s="14" t="s">
        <v>20</v>
      </c>
      <c r="B12" s="19" t="s">
        <v>21</v>
      </c>
      <c r="C12" s="21" t="s">
        <v>22</v>
      </c>
      <c r="D12" s="19" t="s">
        <v>23</v>
      </c>
      <c r="E12" s="22" t="s">
        <v>24</v>
      </c>
      <c r="F12" s="17" t="s">
        <v>25</v>
      </c>
      <c r="G12" s="16"/>
    </row>
    <row r="13" spans="1:7" ht="23.25" customHeight="1" hidden="1">
      <c r="A13" s="23"/>
      <c r="B13" s="24">
        <v>120</v>
      </c>
      <c r="C13" s="24">
        <v>120</v>
      </c>
      <c r="D13" s="24">
        <v>0</v>
      </c>
      <c r="E13" s="25">
        <f>D13+C13+B13</f>
        <v>240</v>
      </c>
      <c r="F13" s="17">
        <v>120</v>
      </c>
      <c r="G13" s="16"/>
    </row>
    <row r="14" spans="1:7" ht="18.75" customHeight="1">
      <c r="A14" s="26" t="s">
        <v>26</v>
      </c>
      <c r="B14" s="26"/>
      <c r="C14" s="26"/>
      <c r="D14" s="26"/>
      <c r="E14" s="26"/>
      <c r="F14" s="26"/>
      <c r="G14" s="27" t="s">
        <v>27</v>
      </c>
    </row>
    <row r="15" spans="1:7" ht="15.75">
      <c r="A15" s="28" t="s">
        <v>28</v>
      </c>
      <c r="B15" s="28"/>
      <c r="C15" s="28"/>
      <c r="D15" s="28"/>
      <c r="E15" s="28"/>
      <c r="F15" s="28"/>
      <c r="G15" s="29">
        <f>B6*7.012*4</f>
        <v>10265.568</v>
      </c>
    </row>
    <row r="16" spans="1:7" ht="15.75" hidden="1">
      <c r="A16" s="28" t="s">
        <v>29</v>
      </c>
      <c r="B16" s="28"/>
      <c r="C16" s="28"/>
      <c r="D16" s="28"/>
      <c r="E16" s="28"/>
      <c r="F16" s="28"/>
      <c r="G16" s="29">
        <f>B7*35.705*12</f>
        <v>0</v>
      </c>
    </row>
    <row r="17" spans="1:7" ht="15.75" hidden="1">
      <c r="A17" s="28" t="s">
        <v>30</v>
      </c>
      <c r="B17" s="28"/>
      <c r="C17" s="28"/>
      <c r="D17" s="28"/>
      <c r="E17" s="28"/>
      <c r="F17" s="28"/>
      <c r="G17" s="29">
        <f>B10*0.3613*12</f>
        <v>0</v>
      </c>
    </row>
    <row r="18" spans="1:7" ht="15.75">
      <c r="A18" s="28" t="s">
        <v>31</v>
      </c>
      <c r="B18" s="28"/>
      <c r="C18" s="28"/>
      <c r="D18" s="28"/>
      <c r="E18" s="28"/>
      <c r="F18" s="28"/>
      <c r="G18" s="29">
        <f>(B9*9.46/100*64)+(C9*7.09/100*38)+(D9*23.66/100*26)+(E9*1.77/100*5)</f>
        <v>23397.6873</v>
      </c>
    </row>
    <row r="19" spans="1:7" ht="15.75" customHeight="1">
      <c r="A19" s="30" t="s">
        <v>32</v>
      </c>
      <c r="B19" s="30"/>
      <c r="C19" s="30"/>
      <c r="D19" s="30"/>
      <c r="E19" s="30"/>
      <c r="F19" s="30"/>
      <c r="G19" s="31">
        <f>574906.73/199064.79*B3</f>
        <v>14520.478770223503</v>
      </c>
    </row>
    <row r="20" spans="1:7" ht="15.75">
      <c r="A20" s="28" t="s">
        <v>33</v>
      </c>
      <c r="B20" s="28"/>
      <c r="C20" s="28"/>
      <c r="D20" s="28"/>
      <c r="E20" s="28"/>
      <c r="F20" s="28"/>
      <c r="G20" s="29">
        <f>D11*0.14*2+1572.32+1268</f>
        <v>3385.424</v>
      </c>
    </row>
    <row r="21" spans="1:7" ht="15.75">
      <c r="A21" s="28" t="s">
        <v>34</v>
      </c>
      <c r="B21" s="28"/>
      <c r="C21" s="28"/>
      <c r="D21" s="28"/>
      <c r="E21" s="28"/>
      <c r="F21" s="28"/>
      <c r="G21" s="29">
        <f>95.95+6117.12+6117.12+1583.09+6620.08</f>
        <v>20533.36</v>
      </c>
    </row>
    <row r="22" spans="1:7" ht="15.75">
      <c r="A22" s="28" t="s">
        <v>35</v>
      </c>
      <c r="B22" s="28"/>
      <c r="C22" s="28"/>
      <c r="D22" s="28"/>
      <c r="E22" s="28"/>
      <c r="F22" s="28"/>
      <c r="G22" s="29">
        <f>B3*0.845*4</f>
        <v>16993.964</v>
      </c>
    </row>
    <row r="23" spans="1:7" ht="15.75" hidden="1">
      <c r="A23" s="28" t="s">
        <v>36</v>
      </c>
      <c r="B23" s="28"/>
      <c r="C23" s="28"/>
      <c r="D23" s="28"/>
      <c r="E23" s="28"/>
      <c r="F23" s="28"/>
      <c r="G23" s="29">
        <v>0</v>
      </c>
    </row>
    <row r="24" spans="1:7" ht="15.75" hidden="1">
      <c r="A24" s="28" t="s">
        <v>37</v>
      </c>
      <c r="B24" s="28"/>
      <c r="C24" s="28"/>
      <c r="D24" s="28"/>
      <c r="E24" s="28"/>
      <c r="F24" s="28"/>
      <c r="G24" s="29">
        <v>0</v>
      </c>
    </row>
    <row r="25" spans="1:7" ht="15.75" hidden="1">
      <c r="A25" s="28" t="s">
        <v>38</v>
      </c>
      <c r="B25" s="28"/>
      <c r="C25" s="28"/>
      <c r="D25" s="28"/>
      <c r="E25" s="28"/>
      <c r="F25" s="28"/>
      <c r="G25" s="29">
        <v>0</v>
      </c>
    </row>
    <row r="26" spans="1:7" ht="15.75">
      <c r="A26" s="28" t="s">
        <v>39</v>
      </c>
      <c r="B26" s="28"/>
      <c r="C26" s="28"/>
      <c r="D26" s="28"/>
      <c r="E26" s="28"/>
      <c r="F26" s="28"/>
      <c r="G26" s="29">
        <f>3*352+4*251.46+633.58</f>
        <v>2695.42</v>
      </c>
    </row>
    <row r="27" spans="1:7" ht="15.75" hidden="1">
      <c r="A27" s="28" t="s">
        <v>40</v>
      </c>
      <c r="B27" s="28"/>
      <c r="C27" s="28"/>
      <c r="D27" s="28"/>
      <c r="E27" s="28"/>
      <c r="F27" s="28"/>
      <c r="G27" s="29">
        <v>0</v>
      </c>
    </row>
    <row r="28" spans="1:7" ht="15.75" hidden="1">
      <c r="A28" s="28" t="s">
        <v>41</v>
      </c>
      <c r="B28" s="28"/>
      <c r="C28" s="28"/>
      <c r="D28" s="28"/>
      <c r="E28" s="28"/>
      <c r="F28" s="28"/>
      <c r="G28" s="29">
        <v>0</v>
      </c>
    </row>
    <row r="29" spans="1:7" ht="15.75" hidden="1">
      <c r="A29" s="28" t="s">
        <v>42</v>
      </c>
      <c r="B29" s="28"/>
      <c r="C29" s="28"/>
      <c r="D29" s="28"/>
      <c r="E29" s="28"/>
      <c r="F29" s="28"/>
      <c r="G29" s="29">
        <v>0</v>
      </c>
    </row>
    <row r="30" spans="1:7" ht="15.75">
      <c r="A30" s="28" t="s">
        <v>43</v>
      </c>
      <c r="B30" s="28"/>
      <c r="C30" s="28"/>
      <c r="D30" s="28"/>
      <c r="E30" s="28"/>
      <c r="F30" s="28"/>
      <c r="G30" s="29">
        <f>B3*1.75*4</f>
        <v>35194.6</v>
      </c>
    </row>
    <row r="31" spans="1:7" ht="15.75" customHeight="1">
      <c r="A31" s="30" t="s">
        <v>44</v>
      </c>
      <c r="B31" s="30"/>
      <c r="C31" s="30"/>
      <c r="D31" s="30"/>
      <c r="E31" s="30"/>
      <c r="F31" s="30"/>
      <c r="G31" s="29">
        <f>(F13*4*8.57)+(B13*2*3.14)+(C13*1*3.14)+(D13*1*3.14)</f>
        <v>5244.000000000001</v>
      </c>
    </row>
    <row r="32" spans="1:7" ht="15.75">
      <c r="A32" s="28" t="s">
        <v>45</v>
      </c>
      <c r="B32" s="28"/>
      <c r="C32" s="28"/>
      <c r="D32" s="28"/>
      <c r="E32" s="28"/>
      <c r="F32" s="28"/>
      <c r="G32" s="29">
        <f>B3*0.65*4</f>
        <v>13072.28</v>
      </c>
    </row>
    <row r="33" spans="1:7" ht="15.75">
      <c r="A33" s="28" t="s">
        <v>46</v>
      </c>
      <c r="B33" s="28"/>
      <c r="C33" s="28"/>
      <c r="D33" s="28"/>
      <c r="E33" s="28"/>
      <c r="F33" s="28"/>
      <c r="G33" s="29">
        <f>B3*0.2*4</f>
        <v>4022.2400000000002</v>
      </c>
    </row>
    <row r="34" spans="1:7" ht="15.75">
      <c r="A34" s="28" t="s">
        <v>47</v>
      </c>
      <c r="B34" s="28"/>
      <c r="C34" s="28"/>
      <c r="D34" s="28"/>
      <c r="E34" s="28"/>
      <c r="F34" s="28"/>
      <c r="G34" s="29">
        <f>B3*0.7*4</f>
        <v>14077.84</v>
      </c>
    </row>
    <row r="35" spans="1:7" ht="15.75">
      <c r="A35" s="26" t="s">
        <v>48</v>
      </c>
      <c r="B35" s="26"/>
      <c r="C35" s="26"/>
      <c r="D35" s="26"/>
      <c r="E35" s="26"/>
      <c r="F35" s="26"/>
      <c r="G35" s="32">
        <f>G15+G16+G17+G18+G19+G20+G21+G22+G23+G24+G26+G30+G31+G32+G33+G34+G27+G28+G29+G25</f>
        <v>163402.8620702235</v>
      </c>
    </row>
    <row r="36" spans="1:7" ht="20.25" customHeight="1">
      <c r="A36" s="33" t="s">
        <v>49</v>
      </c>
      <c r="B36" s="33"/>
      <c r="C36" s="33"/>
      <c r="D36" s="33"/>
      <c r="E36" s="33"/>
      <c r="F36" s="33"/>
      <c r="G36" s="29"/>
    </row>
    <row r="37" spans="1:7" ht="15.75" hidden="1">
      <c r="A37" s="28" t="s">
        <v>50</v>
      </c>
      <c r="B37" s="28"/>
      <c r="C37" s="28"/>
      <c r="D37" s="28"/>
      <c r="E37" s="28"/>
      <c r="F37" s="28"/>
      <c r="G37" s="29"/>
    </row>
    <row r="38" spans="1:7" ht="15.75">
      <c r="A38" s="28" t="s">
        <v>51</v>
      </c>
      <c r="B38" s="28"/>
      <c r="C38" s="28"/>
      <c r="D38" s="28"/>
      <c r="E38" s="28"/>
      <c r="F38" s="28"/>
      <c r="G38" s="29"/>
    </row>
    <row r="39" spans="1:7" ht="15.75" hidden="1">
      <c r="A39" s="34" t="s">
        <v>52</v>
      </c>
      <c r="B39" s="34"/>
      <c r="C39" s="34"/>
      <c r="D39" s="34"/>
      <c r="E39" s="34"/>
      <c r="F39" s="34"/>
      <c r="G39" s="29"/>
    </row>
    <row r="40" spans="1:7" ht="15.75" hidden="1">
      <c r="A40" s="34" t="s">
        <v>53</v>
      </c>
      <c r="B40" s="34"/>
      <c r="C40" s="34"/>
      <c r="D40" s="34"/>
      <c r="E40" s="34"/>
      <c r="F40" s="34"/>
      <c r="G40" s="29"/>
    </row>
    <row r="41" spans="1:7" ht="15.75" hidden="1">
      <c r="A41" s="34" t="s">
        <v>54</v>
      </c>
      <c r="B41" s="34"/>
      <c r="C41" s="34"/>
      <c r="D41" s="34"/>
      <c r="E41" s="34"/>
      <c r="F41" s="34"/>
      <c r="G41" s="29"/>
    </row>
    <row r="42" spans="1:7" ht="15.75" hidden="1">
      <c r="A42" s="34" t="s">
        <v>55</v>
      </c>
      <c r="B42" s="34"/>
      <c r="C42" s="34"/>
      <c r="D42" s="34"/>
      <c r="E42" s="34"/>
      <c r="F42" s="34"/>
      <c r="G42" s="29"/>
    </row>
    <row r="43" spans="1:7" ht="15.75" hidden="1">
      <c r="A43" s="34" t="s">
        <v>56</v>
      </c>
      <c r="B43" s="34"/>
      <c r="C43" s="34"/>
      <c r="D43" s="34"/>
      <c r="E43" s="34"/>
      <c r="F43" s="34"/>
      <c r="G43" s="29"/>
    </row>
    <row r="44" spans="1:7" ht="15.75" hidden="1">
      <c r="A44" s="34" t="s">
        <v>57</v>
      </c>
      <c r="B44" s="34"/>
      <c r="C44" s="34"/>
      <c r="D44" s="34"/>
      <c r="E44" s="34"/>
      <c r="F44" s="34"/>
      <c r="G44" s="29"/>
    </row>
    <row r="45" spans="1:7" ht="15.75">
      <c r="A45" s="34" t="s">
        <v>58</v>
      </c>
      <c r="B45" s="34"/>
      <c r="C45" s="34"/>
      <c r="D45" s="34"/>
      <c r="E45" s="34"/>
      <c r="F45" s="34"/>
      <c r="G45" s="29">
        <v>2188</v>
      </c>
    </row>
    <row r="46" spans="1:7" ht="15.75" hidden="1">
      <c r="A46" s="34" t="s">
        <v>59</v>
      </c>
      <c r="B46" s="34"/>
      <c r="C46" s="34"/>
      <c r="D46" s="34"/>
      <c r="E46" s="34"/>
      <c r="F46" s="34"/>
      <c r="G46" s="29"/>
    </row>
    <row r="47" spans="1:7" ht="15.75" hidden="1">
      <c r="A47" s="34" t="s">
        <v>60</v>
      </c>
      <c r="B47" s="34"/>
      <c r="C47" s="34"/>
      <c r="D47" s="34"/>
      <c r="E47" s="34"/>
      <c r="F47" s="34"/>
      <c r="G47" s="29"/>
    </row>
    <row r="48" spans="1:7" ht="15.75" hidden="1">
      <c r="A48" s="34" t="s">
        <v>61</v>
      </c>
      <c r="B48" s="34"/>
      <c r="C48" s="34"/>
      <c r="D48" s="34"/>
      <c r="E48" s="34"/>
      <c r="F48" s="34"/>
      <c r="G48" s="29"/>
    </row>
    <row r="49" spans="1:7" ht="15.75" hidden="1">
      <c r="A49" s="34" t="s">
        <v>62</v>
      </c>
      <c r="B49" s="34"/>
      <c r="C49" s="34"/>
      <c r="D49" s="34"/>
      <c r="E49" s="34"/>
      <c r="F49" s="34"/>
      <c r="G49" s="29"/>
    </row>
    <row r="50" spans="1:7" ht="15.75">
      <c r="A50" s="34" t="s">
        <v>63</v>
      </c>
      <c r="B50" s="34"/>
      <c r="C50" s="34"/>
      <c r="D50" s="34"/>
      <c r="E50" s="34"/>
      <c r="F50" s="34"/>
      <c r="G50" s="29">
        <v>4860</v>
      </c>
    </row>
    <row r="51" spans="1:7" ht="15.75" hidden="1">
      <c r="A51" s="34" t="s">
        <v>64</v>
      </c>
      <c r="B51" s="34"/>
      <c r="C51" s="34"/>
      <c r="D51" s="34"/>
      <c r="E51" s="34"/>
      <c r="F51" s="34"/>
      <c r="G51" s="29"/>
    </row>
    <row r="52" spans="1:7" ht="15.75" hidden="1">
      <c r="A52" s="34" t="s">
        <v>65</v>
      </c>
      <c r="B52" s="34"/>
      <c r="C52" s="34"/>
      <c r="D52" s="34"/>
      <c r="E52" s="34"/>
      <c r="F52" s="34"/>
      <c r="G52" s="29"/>
    </row>
    <row r="53" spans="1:7" ht="18.75" customHeight="1">
      <c r="A53" s="33" t="s">
        <v>66</v>
      </c>
      <c r="B53" s="33"/>
      <c r="C53" s="33"/>
      <c r="D53" s="33"/>
      <c r="E53" s="33"/>
      <c r="F53" s="33"/>
      <c r="G53" s="32">
        <f>G39+G40+G41+G42+G43+G44+G45+G46+G47+G48+G49+G50+G51+G52</f>
        <v>7048</v>
      </c>
    </row>
    <row r="54" spans="1:7" ht="21" customHeight="1">
      <c r="A54" s="33" t="s">
        <v>67</v>
      </c>
      <c r="B54" s="33"/>
      <c r="C54" s="33"/>
      <c r="D54" s="33"/>
      <c r="E54" s="33"/>
      <c r="F54" s="33"/>
      <c r="G54" s="32">
        <f>G35+G53</f>
        <v>170450.8620702235</v>
      </c>
    </row>
    <row r="55" spans="1:7" ht="15.75" hidden="1">
      <c r="A55" s="28" t="s">
        <v>68</v>
      </c>
      <c r="B55" s="28"/>
      <c r="C55" s="28"/>
      <c r="D55" s="28"/>
      <c r="E55" s="28"/>
      <c r="F55" s="28"/>
      <c r="G55" s="29">
        <v>0</v>
      </c>
    </row>
    <row r="56" spans="1:7" ht="15.75">
      <c r="A56" s="41" t="s">
        <v>69</v>
      </c>
      <c r="B56" s="41"/>
      <c r="C56" s="41"/>
      <c r="D56" s="41"/>
      <c r="E56" s="41"/>
      <c r="F56" s="41"/>
      <c r="G56" s="29">
        <f>281.58*4+141.6*4+180*4</f>
        <v>2412.72</v>
      </c>
    </row>
    <row r="57" spans="1:7" ht="15.75" customHeight="1">
      <c r="A57" s="42" t="s">
        <v>70</v>
      </c>
      <c r="B57" s="42"/>
      <c r="C57" s="42"/>
      <c r="D57" s="42"/>
      <c r="E57" s="42"/>
      <c r="F57" s="42"/>
      <c r="G57" s="32">
        <f>B3*B5*4+G56</f>
        <v>193268.008</v>
      </c>
    </row>
    <row r="58" spans="1:7" ht="15.75" customHeight="1">
      <c r="A58" s="43" t="s">
        <v>71</v>
      </c>
      <c r="B58" s="43"/>
      <c r="C58" s="43"/>
      <c r="D58" s="43"/>
      <c r="E58" s="43"/>
      <c r="F58" s="43"/>
      <c r="G58" s="44">
        <v>24058.23</v>
      </c>
    </row>
    <row r="59" spans="1:7" ht="56.25" customHeight="1">
      <c r="A59" s="33" t="s">
        <v>80</v>
      </c>
      <c r="B59" s="33"/>
      <c r="C59" s="33"/>
      <c r="D59" s="33"/>
      <c r="E59" s="33"/>
      <c r="F59" s="33"/>
      <c r="G59" s="32">
        <f>G54-G57+G58-G55</f>
        <v>1241.084070223489</v>
      </c>
    </row>
  </sheetData>
  <sheetProtection selectLockedCells="1" selectUnlockedCells="1"/>
  <mergeCells count="48">
    <mergeCell ref="A1:G1"/>
    <mergeCell ref="B2:E2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3"/>
  </sheetPr>
  <dimension ref="A1:G60"/>
  <sheetViews>
    <sheetView zoomScale="75" zoomScaleNormal="75" workbookViewId="0" topLeftCell="A2">
      <pane ySplit="65535" topLeftCell="A2" activePane="topLeft" state="split"/>
      <selection pane="topLeft" activeCell="G59" activeCellId="1" sqref="A77:G138 G59"/>
      <selection pane="bottomLeft" activeCell="A2" sqref="A2"/>
    </sheetView>
  </sheetViews>
  <sheetFormatPr defaultColWidth="9.140625" defaultRowHeight="12.75"/>
  <cols>
    <col min="1" max="1" width="23.8515625" style="1" customWidth="1"/>
    <col min="2" max="2" width="11.57421875" style="1" customWidth="1"/>
    <col min="3" max="5" width="9.140625" style="1" customWidth="1"/>
    <col min="6" max="6" width="21.421875" style="1" customWidth="1"/>
    <col min="7" max="7" width="15.00390625" style="1" customWidth="1"/>
    <col min="8" max="16384" width="9.140625" style="1" customWidth="1"/>
  </cols>
  <sheetData>
    <row r="1" spans="1:7" ht="39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109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4</v>
      </c>
      <c r="B3" s="10">
        <v>6242.3</v>
      </c>
      <c r="F3" s="8" t="s">
        <v>5</v>
      </c>
      <c r="G3" s="11">
        <v>8</v>
      </c>
    </row>
    <row r="4" spans="1:7" ht="18.75">
      <c r="A4" s="12" t="s">
        <v>6</v>
      </c>
      <c r="B4" s="13">
        <v>9.96</v>
      </c>
      <c r="C4" s="1" t="s">
        <v>7</v>
      </c>
      <c r="F4" s="8" t="s">
        <v>8</v>
      </c>
      <c r="G4" s="9">
        <v>1972</v>
      </c>
    </row>
    <row r="5" spans="1:3" ht="16.5" customHeight="1">
      <c r="A5" s="12" t="s">
        <v>6</v>
      </c>
      <c r="B5" s="13">
        <v>10.96</v>
      </c>
      <c r="C5" s="1" t="s">
        <v>9</v>
      </c>
    </row>
    <row r="6" spans="1:7" ht="18.75" customHeight="1" hidden="1">
      <c r="A6" s="47" t="s">
        <v>10</v>
      </c>
      <c r="B6" s="15">
        <v>70.06</v>
      </c>
      <c r="C6" s="16" t="s">
        <v>110</v>
      </c>
      <c r="D6" s="16"/>
      <c r="E6" s="16"/>
      <c r="F6" s="16"/>
      <c r="G6" s="16"/>
    </row>
    <row r="7" spans="1:7" ht="18.75" customHeight="1" hidden="1">
      <c r="A7" s="47"/>
      <c r="B7" s="15">
        <v>490.44</v>
      </c>
      <c r="C7" s="16"/>
      <c r="D7" s="16"/>
      <c r="E7" s="16"/>
      <c r="F7" s="16"/>
      <c r="G7" s="16"/>
    </row>
    <row r="8" spans="1:7" ht="18.75" hidden="1">
      <c r="A8" s="14" t="s">
        <v>12</v>
      </c>
      <c r="B8" s="17">
        <v>0</v>
      </c>
      <c r="C8" s="16"/>
      <c r="D8" s="16"/>
      <c r="E8" s="16"/>
      <c r="F8" s="16"/>
      <c r="G8" s="16"/>
    </row>
    <row r="9" spans="1:7" ht="38.25" customHeight="1" hidden="1">
      <c r="A9" s="18" t="s">
        <v>13</v>
      </c>
      <c r="B9" s="19" t="s">
        <v>14</v>
      </c>
      <c r="C9" s="19" t="s">
        <v>15</v>
      </c>
      <c r="D9" s="19" t="s">
        <v>16</v>
      </c>
      <c r="E9" s="19" t="s">
        <v>17</v>
      </c>
      <c r="F9" s="16"/>
      <c r="G9" s="16"/>
    </row>
    <row r="10" spans="1:7" ht="20.25" customHeight="1" hidden="1">
      <c r="A10" s="14"/>
      <c r="B10" s="17">
        <v>962</v>
      </c>
      <c r="C10" s="17">
        <v>2625</v>
      </c>
      <c r="D10" s="17">
        <v>777</v>
      </c>
      <c r="E10" s="17">
        <v>2810</v>
      </c>
      <c r="F10" s="16"/>
      <c r="G10" s="16"/>
    </row>
    <row r="11" spans="1:7" ht="18.75" hidden="1">
      <c r="A11" s="14" t="s">
        <v>18</v>
      </c>
      <c r="B11" s="20">
        <v>0</v>
      </c>
      <c r="C11" s="16"/>
      <c r="D11" s="16"/>
      <c r="E11" s="16"/>
      <c r="F11" s="16"/>
      <c r="G11" s="16"/>
    </row>
    <row r="12" spans="1:7" ht="19.5" hidden="1">
      <c r="A12" s="14" t="s">
        <v>19</v>
      </c>
      <c r="B12" s="20">
        <v>1149</v>
      </c>
      <c r="C12" s="20">
        <v>1136.4</v>
      </c>
      <c r="D12" s="20">
        <f>B12+C12</f>
        <v>2285.4</v>
      </c>
      <c r="E12" s="16"/>
      <c r="F12" s="16"/>
      <c r="G12" s="16"/>
    </row>
    <row r="13" spans="1:7" ht="50.25" customHeight="1" hidden="1">
      <c r="A13" s="14" t="s">
        <v>20</v>
      </c>
      <c r="B13" s="19" t="s">
        <v>21</v>
      </c>
      <c r="C13" s="21" t="s">
        <v>22</v>
      </c>
      <c r="D13" s="19" t="s">
        <v>23</v>
      </c>
      <c r="E13" s="22" t="s">
        <v>24</v>
      </c>
      <c r="F13" s="17" t="s">
        <v>25</v>
      </c>
      <c r="G13" s="16"/>
    </row>
    <row r="14" spans="1:7" ht="23.25" customHeight="1" hidden="1">
      <c r="A14" s="23"/>
      <c r="B14" s="24">
        <v>119</v>
      </c>
      <c r="C14" s="24">
        <v>119</v>
      </c>
      <c r="D14" s="24">
        <v>0</v>
      </c>
      <c r="E14" s="25">
        <f>D14+C14+B14</f>
        <v>238</v>
      </c>
      <c r="F14" s="17">
        <v>0</v>
      </c>
      <c r="G14" s="16"/>
    </row>
    <row r="15" spans="1:7" ht="18.75" customHeight="1">
      <c r="A15" s="26" t="s">
        <v>26</v>
      </c>
      <c r="B15" s="26"/>
      <c r="C15" s="26"/>
      <c r="D15" s="26"/>
      <c r="E15" s="26"/>
      <c r="F15" s="26"/>
      <c r="G15" s="27" t="s">
        <v>27</v>
      </c>
    </row>
    <row r="16" spans="1:7" ht="15.75">
      <c r="A16" s="28" t="s">
        <v>28</v>
      </c>
      <c r="B16" s="28"/>
      <c r="C16" s="28"/>
      <c r="D16" s="28"/>
      <c r="E16" s="28"/>
      <c r="F16" s="28"/>
      <c r="G16" s="29">
        <f>B7*8.689*4</f>
        <v>17045.73264</v>
      </c>
    </row>
    <row r="17" spans="1:7" ht="15.75" hidden="1">
      <c r="A17" s="28" t="s">
        <v>29</v>
      </c>
      <c r="B17" s="28"/>
      <c r="C17" s="28"/>
      <c r="D17" s="28"/>
      <c r="E17" s="28"/>
      <c r="F17" s="28"/>
      <c r="G17" s="29">
        <f>B8*19.03*12</f>
        <v>0</v>
      </c>
    </row>
    <row r="18" spans="1:7" ht="15.75" hidden="1">
      <c r="A18" s="28" t="s">
        <v>30</v>
      </c>
      <c r="B18" s="28"/>
      <c r="C18" s="28"/>
      <c r="D18" s="28"/>
      <c r="E18" s="28"/>
      <c r="F18" s="28"/>
      <c r="G18" s="29">
        <f>B11*0.4523*12</f>
        <v>0</v>
      </c>
    </row>
    <row r="19" spans="1:7" ht="15.75" customHeight="1">
      <c r="A19" s="28" t="s">
        <v>31</v>
      </c>
      <c r="B19" s="28"/>
      <c r="C19" s="28"/>
      <c r="D19" s="28"/>
      <c r="E19" s="28"/>
      <c r="F19" s="28"/>
      <c r="G19" s="29">
        <f>(B10*12.84/100*64)+(C10*9.63/100*38)+(D10*32.11/100*26)+(E10*2.41/100*5)</f>
        <v>24336.7234</v>
      </c>
    </row>
    <row r="20" spans="1:7" ht="15.75" customHeight="1">
      <c r="A20" s="30" t="s">
        <v>32</v>
      </c>
      <c r="B20" s="30"/>
      <c r="C20" s="30"/>
      <c r="D20" s="30"/>
      <c r="E20" s="30"/>
      <c r="F20" s="30"/>
      <c r="G20" s="31">
        <f>574906.73/199064.79*B3</f>
        <v>18028.00123858669</v>
      </c>
    </row>
    <row r="21" spans="1:7" ht="15.75">
      <c r="A21" s="28" t="s">
        <v>33</v>
      </c>
      <c r="B21" s="28"/>
      <c r="C21" s="28"/>
      <c r="D21" s="28"/>
      <c r="E21" s="28"/>
      <c r="F21" s="28"/>
      <c r="G21" s="29">
        <f>D12*0.14*2</f>
        <v>639.912</v>
      </c>
    </row>
    <row r="22" spans="1:7" ht="15.75" hidden="1">
      <c r="A22" s="28" t="s">
        <v>34</v>
      </c>
      <c r="B22" s="28"/>
      <c r="C22" s="28"/>
      <c r="D22" s="28"/>
      <c r="E22" s="28"/>
      <c r="F22" s="28"/>
      <c r="G22" s="29">
        <v>0</v>
      </c>
    </row>
    <row r="23" spans="1:7" ht="15.75">
      <c r="A23" s="28" t="s">
        <v>35</v>
      </c>
      <c r="B23" s="28"/>
      <c r="C23" s="28"/>
      <c r="D23" s="28"/>
      <c r="E23" s="28"/>
      <c r="F23" s="28"/>
      <c r="G23" s="29">
        <f>B3*0.845*4</f>
        <v>21098.974</v>
      </c>
    </row>
    <row r="24" spans="1:7" ht="15.75" hidden="1">
      <c r="A24" s="28" t="s">
        <v>36</v>
      </c>
      <c r="B24" s="28"/>
      <c r="C24" s="28"/>
      <c r="D24" s="28"/>
      <c r="E24" s="28"/>
      <c r="F24" s="28"/>
      <c r="G24" s="29">
        <v>0</v>
      </c>
    </row>
    <row r="25" spans="1:7" ht="15.75" hidden="1">
      <c r="A25" s="28" t="s">
        <v>37</v>
      </c>
      <c r="B25" s="28"/>
      <c r="C25" s="28"/>
      <c r="D25" s="28"/>
      <c r="E25" s="28"/>
      <c r="F25" s="28"/>
      <c r="G25" s="29">
        <v>0</v>
      </c>
    </row>
    <row r="26" spans="1:7" ht="15.75" hidden="1">
      <c r="A26" s="28" t="s">
        <v>38</v>
      </c>
      <c r="B26" s="28"/>
      <c r="C26" s="28"/>
      <c r="D26" s="28"/>
      <c r="E26" s="28"/>
      <c r="F26" s="28"/>
      <c r="G26" s="29">
        <v>0</v>
      </c>
    </row>
    <row r="27" spans="1:7" ht="15.75">
      <c r="A27" s="28" t="s">
        <v>39</v>
      </c>
      <c r="B27" s="28"/>
      <c r="C27" s="28"/>
      <c r="D27" s="28"/>
      <c r="E27" s="28"/>
      <c r="F27" s="28"/>
      <c r="G27" s="29">
        <f>3*352+4*251.46+9171.46</f>
        <v>11233.3</v>
      </c>
    </row>
    <row r="28" spans="1:7" ht="15.75">
      <c r="A28" s="28" t="s">
        <v>40</v>
      </c>
      <c r="B28" s="28"/>
      <c r="C28" s="28"/>
      <c r="D28" s="28"/>
      <c r="E28" s="28"/>
      <c r="F28" s="28"/>
      <c r="G28" s="29">
        <f>1080.88</f>
        <v>1080.88</v>
      </c>
    </row>
    <row r="29" spans="1:7" ht="15.75" hidden="1">
      <c r="A29" s="28" t="s">
        <v>41</v>
      </c>
      <c r="B29" s="28"/>
      <c r="C29" s="28"/>
      <c r="D29" s="28"/>
      <c r="E29" s="28"/>
      <c r="F29" s="28"/>
      <c r="G29" s="29">
        <v>0</v>
      </c>
    </row>
    <row r="30" spans="1:7" ht="15.75" hidden="1">
      <c r="A30" s="28" t="s">
        <v>42</v>
      </c>
      <c r="B30" s="28"/>
      <c r="C30" s="28"/>
      <c r="D30" s="28"/>
      <c r="E30" s="28"/>
      <c r="F30" s="28"/>
      <c r="G30" s="29">
        <v>0</v>
      </c>
    </row>
    <row r="31" spans="1:7" ht="15.75" customHeight="1">
      <c r="A31" s="28" t="s">
        <v>43</v>
      </c>
      <c r="B31" s="28"/>
      <c r="C31" s="28"/>
      <c r="D31" s="28"/>
      <c r="E31" s="28"/>
      <c r="F31" s="28"/>
      <c r="G31" s="29">
        <f>B3*1.75*4</f>
        <v>43696.1</v>
      </c>
    </row>
    <row r="32" spans="1:7" ht="15.75" customHeight="1">
      <c r="A32" s="30" t="s">
        <v>44</v>
      </c>
      <c r="B32" s="30"/>
      <c r="C32" s="30"/>
      <c r="D32" s="30"/>
      <c r="E32" s="30"/>
      <c r="F32" s="30"/>
      <c r="G32" s="29">
        <f>(F14*4*8.57)+(B14*2*3.14)+(C14*1*3.14)+(D14*1*3.14)</f>
        <v>1120.98</v>
      </c>
    </row>
    <row r="33" spans="1:7" ht="15.75">
      <c r="A33" s="28" t="s">
        <v>45</v>
      </c>
      <c r="B33" s="28"/>
      <c r="C33" s="28"/>
      <c r="D33" s="28"/>
      <c r="E33" s="28"/>
      <c r="F33" s="28"/>
      <c r="G33" s="29">
        <f>B3*0.65*4</f>
        <v>16229.980000000001</v>
      </c>
    </row>
    <row r="34" spans="1:7" ht="15.75">
      <c r="A34" s="28" t="s">
        <v>46</v>
      </c>
      <c r="B34" s="28"/>
      <c r="C34" s="28"/>
      <c r="D34" s="28"/>
      <c r="E34" s="28"/>
      <c r="F34" s="28"/>
      <c r="G34" s="29">
        <f>B3*0.2*4</f>
        <v>4993.84</v>
      </c>
    </row>
    <row r="35" spans="1:7" ht="15.75">
      <c r="A35" s="28" t="s">
        <v>47</v>
      </c>
      <c r="B35" s="28"/>
      <c r="C35" s="28"/>
      <c r="D35" s="28"/>
      <c r="E35" s="28"/>
      <c r="F35" s="28"/>
      <c r="G35" s="29">
        <f>B3*0.7*4</f>
        <v>17478.44</v>
      </c>
    </row>
    <row r="36" spans="1:7" ht="15.75" customHeight="1">
      <c r="A36" s="26" t="s">
        <v>48</v>
      </c>
      <c r="B36" s="26"/>
      <c r="C36" s="26"/>
      <c r="D36" s="26"/>
      <c r="E36" s="26"/>
      <c r="F36" s="26"/>
      <c r="G36" s="32">
        <f>G16+G17+G18+G19+G20+G21+G22+G23+G24+G25+G27+G31+G32+G33+G34+G35+G28+G29+G30+G26</f>
        <v>176982.8632785867</v>
      </c>
    </row>
    <row r="37" spans="1:7" ht="20.25" customHeight="1">
      <c r="A37" s="33" t="s">
        <v>49</v>
      </c>
      <c r="B37" s="33"/>
      <c r="C37" s="33"/>
      <c r="D37" s="33"/>
      <c r="E37" s="33"/>
      <c r="F37" s="33"/>
      <c r="G37" s="29"/>
    </row>
    <row r="38" spans="1:7" ht="15.75" hidden="1">
      <c r="A38" s="28" t="s">
        <v>50</v>
      </c>
      <c r="B38" s="28"/>
      <c r="C38" s="28"/>
      <c r="D38" s="28"/>
      <c r="E38" s="28"/>
      <c r="F38" s="28"/>
      <c r="G38" s="29"/>
    </row>
    <row r="39" spans="1:7" ht="15.75">
      <c r="A39" s="28" t="s">
        <v>51</v>
      </c>
      <c r="B39" s="28"/>
      <c r="C39" s="28"/>
      <c r="D39" s="28"/>
      <c r="E39" s="28"/>
      <c r="F39" s="28"/>
      <c r="G39" s="29"/>
    </row>
    <row r="40" spans="1:7" ht="15.75">
      <c r="A40" s="34" t="s">
        <v>52</v>
      </c>
      <c r="B40" s="34"/>
      <c r="C40" s="34"/>
      <c r="D40" s="34"/>
      <c r="E40" s="34"/>
      <c r="F40" s="34"/>
      <c r="G40" s="29">
        <v>2370</v>
      </c>
    </row>
    <row r="41" spans="1:7" ht="15.75" hidden="1">
      <c r="A41" s="34" t="s">
        <v>53</v>
      </c>
      <c r="B41" s="34"/>
      <c r="C41" s="34"/>
      <c r="D41" s="34"/>
      <c r="E41" s="34"/>
      <c r="F41" s="34"/>
      <c r="G41" s="29"/>
    </row>
    <row r="42" spans="1:7" ht="15.75" hidden="1">
      <c r="A42" s="34" t="s">
        <v>54</v>
      </c>
      <c r="B42" s="34"/>
      <c r="C42" s="34"/>
      <c r="D42" s="34"/>
      <c r="E42" s="34"/>
      <c r="F42" s="34"/>
      <c r="G42" s="29"/>
    </row>
    <row r="43" spans="1:7" ht="15.75" hidden="1">
      <c r="A43" s="34" t="s">
        <v>55</v>
      </c>
      <c r="B43" s="34"/>
      <c r="C43" s="34"/>
      <c r="D43" s="34"/>
      <c r="E43" s="34"/>
      <c r="F43" s="34"/>
      <c r="G43" s="29"/>
    </row>
    <row r="44" spans="1:7" ht="15.75" hidden="1">
      <c r="A44" s="34" t="s">
        <v>56</v>
      </c>
      <c r="B44" s="34"/>
      <c r="C44" s="34"/>
      <c r="D44" s="34"/>
      <c r="E44" s="34"/>
      <c r="F44" s="34"/>
      <c r="G44" s="29"/>
    </row>
    <row r="45" spans="1:7" ht="15.75" hidden="1">
      <c r="A45" s="34" t="s">
        <v>57</v>
      </c>
      <c r="B45" s="34"/>
      <c r="C45" s="34"/>
      <c r="D45" s="34"/>
      <c r="E45" s="34"/>
      <c r="F45" s="34"/>
      <c r="G45" s="29"/>
    </row>
    <row r="46" spans="1:7" ht="15.75">
      <c r="A46" s="34" t="s">
        <v>58</v>
      </c>
      <c r="B46" s="34"/>
      <c r="C46" s="34"/>
      <c r="D46" s="34"/>
      <c r="E46" s="34"/>
      <c r="F46" s="34"/>
      <c r="G46" s="29">
        <v>168</v>
      </c>
    </row>
    <row r="47" spans="1:7" ht="15.75">
      <c r="A47" s="34" t="s">
        <v>59</v>
      </c>
      <c r="B47" s="34"/>
      <c r="C47" s="34"/>
      <c r="D47" s="34"/>
      <c r="E47" s="34"/>
      <c r="F47" s="34"/>
      <c r="G47" s="29">
        <v>14710</v>
      </c>
    </row>
    <row r="48" spans="1:7" ht="15.75" hidden="1">
      <c r="A48" s="34" t="s">
        <v>60</v>
      </c>
      <c r="B48" s="34"/>
      <c r="C48" s="34"/>
      <c r="D48" s="34"/>
      <c r="E48" s="34"/>
      <c r="F48" s="34"/>
      <c r="G48" s="29"/>
    </row>
    <row r="49" spans="1:7" ht="15.75" hidden="1">
      <c r="A49" s="34" t="s">
        <v>61</v>
      </c>
      <c r="B49" s="34"/>
      <c r="C49" s="34"/>
      <c r="D49" s="34"/>
      <c r="E49" s="34"/>
      <c r="F49" s="34"/>
      <c r="G49" s="29"/>
    </row>
    <row r="50" spans="1:7" ht="15.75" hidden="1">
      <c r="A50" s="34" t="s">
        <v>62</v>
      </c>
      <c r="B50" s="34"/>
      <c r="C50" s="34"/>
      <c r="D50" s="34"/>
      <c r="E50" s="34"/>
      <c r="F50" s="34"/>
      <c r="G50" s="29"/>
    </row>
    <row r="51" spans="1:7" ht="15.75">
      <c r="A51" s="34" t="s">
        <v>63</v>
      </c>
      <c r="B51" s="34"/>
      <c r="C51" s="34"/>
      <c r="D51" s="34"/>
      <c r="E51" s="34"/>
      <c r="F51" s="34"/>
      <c r="G51" s="29">
        <v>9360</v>
      </c>
    </row>
    <row r="52" spans="1:7" ht="15.75" hidden="1">
      <c r="A52" s="34" t="s">
        <v>64</v>
      </c>
      <c r="B52" s="34"/>
      <c r="C52" s="34"/>
      <c r="D52" s="34"/>
      <c r="E52" s="34"/>
      <c r="F52" s="34"/>
      <c r="G52" s="29"/>
    </row>
    <row r="53" spans="1:7" ht="15.75" customHeight="1" hidden="1">
      <c r="A53" s="34" t="s">
        <v>65</v>
      </c>
      <c r="B53" s="34"/>
      <c r="C53" s="34"/>
      <c r="D53" s="34"/>
      <c r="E53" s="34"/>
      <c r="F53" s="34"/>
      <c r="G53" s="29"/>
    </row>
    <row r="54" spans="1:7" ht="15.75" customHeight="1">
      <c r="A54" s="33" t="s">
        <v>66</v>
      </c>
      <c r="B54" s="33"/>
      <c r="C54" s="33"/>
      <c r="D54" s="33"/>
      <c r="E54" s="33"/>
      <c r="F54" s="33"/>
      <c r="G54" s="32">
        <f>G40+G41+G42+G43+G44+G45+G46+G47+G48+G49+G50+G51+G52+G53</f>
        <v>26608</v>
      </c>
    </row>
    <row r="55" spans="1:7" ht="15.75" customHeight="1">
      <c r="A55" s="33" t="s">
        <v>67</v>
      </c>
      <c r="B55" s="33"/>
      <c r="C55" s="33"/>
      <c r="D55" s="33"/>
      <c r="E55" s="33"/>
      <c r="F55" s="33"/>
      <c r="G55" s="32">
        <f>G36+G54</f>
        <v>203590.8632785867</v>
      </c>
    </row>
    <row r="56" spans="1:7" ht="15.75" hidden="1">
      <c r="A56" s="28" t="s">
        <v>68</v>
      </c>
      <c r="B56" s="28"/>
      <c r="C56" s="28"/>
      <c r="D56" s="28"/>
      <c r="E56" s="28"/>
      <c r="F56" s="28"/>
      <c r="G56" s="29">
        <v>0</v>
      </c>
    </row>
    <row r="57" spans="1:7" ht="15.75">
      <c r="A57" s="41" t="s">
        <v>69</v>
      </c>
      <c r="B57" s="41"/>
      <c r="C57" s="41"/>
      <c r="D57" s="41"/>
      <c r="E57" s="41"/>
      <c r="F57" s="41"/>
      <c r="G57" s="29">
        <f>2*281.58*4+2*141.6*4+180*4</f>
        <v>4105.44</v>
      </c>
    </row>
    <row r="58" spans="1:7" ht="15.75" customHeight="1">
      <c r="A58" s="42" t="s">
        <v>70</v>
      </c>
      <c r="B58" s="42"/>
      <c r="C58" s="42"/>
      <c r="D58" s="42"/>
      <c r="E58" s="42"/>
      <c r="F58" s="42"/>
      <c r="G58" s="32">
        <f>(B3*B4+B3*B5)*4+G57</f>
        <v>526461.104</v>
      </c>
    </row>
    <row r="59" spans="1:7" ht="15.75" customHeight="1">
      <c r="A59" s="43" t="s">
        <v>71</v>
      </c>
      <c r="B59" s="43"/>
      <c r="C59" s="43"/>
      <c r="D59" s="43"/>
      <c r="E59" s="43"/>
      <c r="F59" s="43"/>
      <c r="G59" s="44">
        <v>21253.1</v>
      </c>
    </row>
    <row r="60" spans="1:7" ht="64.5" customHeight="1">
      <c r="A60" s="33" t="s">
        <v>82</v>
      </c>
      <c r="B60" s="33"/>
      <c r="C60" s="33"/>
      <c r="D60" s="33"/>
      <c r="E60" s="33"/>
      <c r="F60" s="33"/>
      <c r="G60" s="32">
        <f>G55-G58-G56+G59</f>
        <v>-301617.14072141337</v>
      </c>
    </row>
  </sheetData>
  <sheetProtection selectLockedCells="1" selectUnlockedCells="1"/>
  <mergeCells count="49">
    <mergeCell ref="A1:G1"/>
    <mergeCell ref="B2:E2"/>
    <mergeCell ref="A6:A7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3"/>
  </sheetPr>
  <dimension ref="A1:G59"/>
  <sheetViews>
    <sheetView zoomScale="75" zoomScaleNormal="75" workbookViewId="0" topLeftCell="A26">
      <pane ySplit="65535" topLeftCell="A26" activePane="topLeft" state="split"/>
      <selection pane="topLeft" activeCell="G58" activeCellId="1" sqref="A77:G138 G58"/>
      <selection pane="bottomLeft" activeCell="A26" sqref="A26"/>
    </sheetView>
  </sheetViews>
  <sheetFormatPr defaultColWidth="9.140625" defaultRowHeight="12.75"/>
  <cols>
    <col min="1" max="1" width="23.8515625" style="1" customWidth="1"/>
    <col min="2" max="2" width="11.57421875" style="1" customWidth="1"/>
    <col min="3" max="5" width="9.140625" style="1" customWidth="1"/>
    <col min="6" max="6" width="21.421875" style="1" customWidth="1"/>
    <col min="7" max="7" width="14.8515625" style="1" customWidth="1"/>
    <col min="8" max="16384" width="9.140625" style="1" customWidth="1"/>
  </cols>
  <sheetData>
    <row r="1" spans="1:7" ht="39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111</v>
      </c>
      <c r="C2" s="7"/>
      <c r="D2" s="7"/>
      <c r="E2" s="7"/>
      <c r="F2" s="8" t="s">
        <v>3</v>
      </c>
      <c r="G2" s="9">
        <v>9</v>
      </c>
    </row>
    <row r="3" spans="1:7" ht="18.75">
      <c r="A3" s="6" t="s">
        <v>4</v>
      </c>
      <c r="B3" s="10">
        <v>4667.3</v>
      </c>
      <c r="F3" s="8" t="s">
        <v>5</v>
      </c>
      <c r="G3" s="11">
        <v>2</v>
      </c>
    </row>
    <row r="4" spans="1:7" ht="18.75">
      <c r="A4" s="12" t="s">
        <v>6</v>
      </c>
      <c r="B4" s="13"/>
      <c r="F4" s="8" t="s">
        <v>8</v>
      </c>
      <c r="G4" s="9">
        <v>1985</v>
      </c>
    </row>
    <row r="5" spans="1:3" ht="16.5" customHeight="1">
      <c r="A5" s="12" t="s">
        <v>6</v>
      </c>
      <c r="B5" s="13">
        <v>15.08</v>
      </c>
      <c r="C5" s="1" t="s">
        <v>9</v>
      </c>
    </row>
    <row r="6" spans="1:7" ht="18.75" hidden="1">
      <c r="A6" s="14" t="s">
        <v>10</v>
      </c>
      <c r="B6" s="15">
        <v>695.6</v>
      </c>
      <c r="C6" s="16"/>
      <c r="D6" s="16"/>
      <c r="E6" s="16"/>
      <c r="F6" s="16"/>
      <c r="G6" s="16"/>
    </row>
    <row r="7" spans="1:7" ht="18.75" hidden="1">
      <c r="A7" s="14" t="s">
        <v>12</v>
      </c>
      <c r="B7" s="17">
        <v>2.2</v>
      </c>
      <c r="C7" s="16" t="s">
        <v>112</v>
      </c>
      <c r="D7" s="16">
        <v>2</v>
      </c>
      <c r="E7" s="16"/>
      <c r="F7" s="16"/>
      <c r="G7" s="16"/>
    </row>
    <row r="8" spans="1:7" ht="38.25" customHeight="1" hidden="1">
      <c r="A8" s="18" t="s">
        <v>13</v>
      </c>
      <c r="B8" s="19" t="s">
        <v>14</v>
      </c>
      <c r="C8" s="19" t="s">
        <v>15</v>
      </c>
      <c r="D8" s="19" t="s">
        <v>16</v>
      </c>
      <c r="E8" s="19" t="s">
        <v>17</v>
      </c>
      <c r="F8" s="16"/>
      <c r="G8" s="16"/>
    </row>
    <row r="9" spans="1:7" ht="20.25" customHeight="1" hidden="1">
      <c r="A9" s="14"/>
      <c r="B9" s="17">
        <v>700</v>
      </c>
      <c r="C9" s="17">
        <v>1634</v>
      </c>
      <c r="D9" s="17">
        <v>500</v>
      </c>
      <c r="E9" s="17">
        <v>1834</v>
      </c>
      <c r="F9" s="16"/>
      <c r="G9" s="16"/>
    </row>
    <row r="10" spans="1:7" ht="18.75" hidden="1">
      <c r="A10" s="14" t="s">
        <v>18</v>
      </c>
      <c r="B10" s="20">
        <v>4667.3</v>
      </c>
      <c r="C10" s="16"/>
      <c r="D10" s="16"/>
      <c r="E10" s="16"/>
      <c r="F10" s="16"/>
      <c r="G10" s="16"/>
    </row>
    <row r="11" spans="1:7" ht="19.5" hidden="1">
      <c r="A11" s="14" t="s">
        <v>19</v>
      </c>
      <c r="B11" s="20">
        <v>507.4</v>
      </c>
      <c r="C11" s="20">
        <v>441.3</v>
      </c>
      <c r="D11" s="20">
        <f>B11+C11</f>
        <v>948.7</v>
      </c>
      <c r="E11" s="16"/>
      <c r="F11" s="16"/>
      <c r="G11" s="16"/>
    </row>
    <row r="12" spans="1:7" ht="50.25" customHeight="1" hidden="1">
      <c r="A12" s="14" t="s">
        <v>20</v>
      </c>
      <c r="B12" s="19" t="s">
        <v>21</v>
      </c>
      <c r="C12" s="21" t="s">
        <v>22</v>
      </c>
      <c r="D12" s="19" t="s">
        <v>23</v>
      </c>
      <c r="E12" s="22" t="s">
        <v>24</v>
      </c>
      <c r="F12" s="17" t="s">
        <v>25</v>
      </c>
      <c r="G12" s="16"/>
    </row>
    <row r="13" spans="1:7" ht="23.25" customHeight="1" hidden="1">
      <c r="A13" s="23"/>
      <c r="B13" s="24">
        <v>72</v>
      </c>
      <c r="C13" s="24">
        <v>72</v>
      </c>
      <c r="D13" s="24">
        <v>0</v>
      </c>
      <c r="E13" s="25">
        <f>D13+C13+B13</f>
        <v>144</v>
      </c>
      <c r="F13" s="17">
        <v>0</v>
      </c>
      <c r="G13" s="16"/>
    </row>
    <row r="14" spans="1:7" ht="18.75" customHeight="1">
      <c r="A14" s="26" t="s">
        <v>26</v>
      </c>
      <c r="B14" s="26"/>
      <c r="C14" s="26"/>
      <c r="D14" s="26"/>
      <c r="E14" s="26"/>
      <c r="F14" s="26"/>
      <c r="G14" s="27" t="s">
        <v>27</v>
      </c>
    </row>
    <row r="15" spans="1:7" ht="15.75">
      <c r="A15" s="28" t="s">
        <v>28</v>
      </c>
      <c r="B15" s="28"/>
      <c r="C15" s="28"/>
      <c r="D15" s="28"/>
      <c r="E15" s="28"/>
      <c r="F15" s="28"/>
      <c r="G15" s="29">
        <f>B6*8.689*4</f>
        <v>24176.2736</v>
      </c>
    </row>
    <row r="16" spans="1:7" ht="15.75">
      <c r="A16" s="28" t="s">
        <v>29</v>
      </c>
      <c r="B16" s="28"/>
      <c r="C16" s="28"/>
      <c r="D16" s="28"/>
      <c r="E16" s="28"/>
      <c r="F16" s="28"/>
      <c r="G16" s="29">
        <f>B7*19.029*4</f>
        <v>167.45520000000002</v>
      </c>
    </row>
    <row r="17" spans="1:7" ht="15.75">
      <c r="A17" s="28" t="s">
        <v>30</v>
      </c>
      <c r="B17" s="28"/>
      <c r="C17" s="28"/>
      <c r="D17" s="28"/>
      <c r="E17" s="28"/>
      <c r="F17" s="28"/>
      <c r="G17" s="29">
        <f>B10*0.4522*4</f>
        <v>8442.21224</v>
      </c>
    </row>
    <row r="18" spans="1:7" ht="15.75">
      <c r="A18" s="28" t="s">
        <v>31</v>
      </c>
      <c r="B18" s="28"/>
      <c r="C18" s="28"/>
      <c r="D18" s="28"/>
      <c r="E18" s="28"/>
      <c r="F18" s="28"/>
      <c r="G18" s="29">
        <f>(B9*12.84/100*64)+(C9*9.63/100*38)+(D9*32.11/100*26)+(E9*2.41/100*5)</f>
        <v>16127.0766</v>
      </c>
    </row>
    <row r="19" spans="1:7" ht="15.75" customHeight="1">
      <c r="A19" s="30" t="s">
        <v>32</v>
      </c>
      <c r="B19" s="30"/>
      <c r="C19" s="30"/>
      <c r="D19" s="30"/>
      <c r="E19" s="30"/>
      <c r="F19" s="30"/>
      <c r="G19" s="31">
        <f>574906.73/199064.79*B3</f>
        <v>13479.340977020596</v>
      </c>
    </row>
    <row r="20" spans="1:7" ht="15.75">
      <c r="A20" s="28" t="s">
        <v>33</v>
      </c>
      <c r="B20" s="28"/>
      <c r="C20" s="28"/>
      <c r="D20" s="28"/>
      <c r="E20" s="28"/>
      <c r="F20" s="28"/>
      <c r="G20" s="29">
        <f>D11*0.14*2</f>
        <v>265.636</v>
      </c>
    </row>
    <row r="21" spans="1:7" ht="15.75" hidden="1">
      <c r="A21" s="28" t="s">
        <v>34</v>
      </c>
      <c r="B21" s="28"/>
      <c r="C21" s="28"/>
      <c r="D21" s="28"/>
      <c r="E21" s="28"/>
      <c r="F21" s="28"/>
      <c r="G21" s="29">
        <v>0</v>
      </c>
    </row>
    <row r="22" spans="1:7" ht="15.75">
      <c r="A22" s="28" t="s">
        <v>35</v>
      </c>
      <c r="B22" s="28"/>
      <c r="C22" s="28"/>
      <c r="D22" s="28"/>
      <c r="E22" s="28"/>
      <c r="F22" s="28"/>
      <c r="G22" s="29">
        <f>B3*0.845*4</f>
        <v>15775.474</v>
      </c>
    </row>
    <row r="23" spans="1:7" ht="15.75">
      <c r="A23" s="28" t="s">
        <v>36</v>
      </c>
      <c r="B23" s="28"/>
      <c r="C23" s="28"/>
      <c r="D23" s="28"/>
      <c r="E23" s="28"/>
      <c r="F23" s="28"/>
      <c r="G23" s="29">
        <f>B3*2.648*4</f>
        <v>49436.041600000004</v>
      </c>
    </row>
    <row r="24" spans="1:7" ht="15.75" hidden="1">
      <c r="A24" s="28" t="s">
        <v>37</v>
      </c>
      <c r="B24" s="28"/>
      <c r="C24" s="28"/>
      <c r="D24" s="28"/>
      <c r="E24" s="28"/>
      <c r="F24" s="28"/>
      <c r="G24" s="29">
        <v>0</v>
      </c>
    </row>
    <row r="25" spans="1:7" ht="15.75">
      <c r="A25" s="28" t="s">
        <v>38</v>
      </c>
      <c r="B25" s="28"/>
      <c r="C25" s="28"/>
      <c r="D25" s="28"/>
      <c r="E25" s="28"/>
      <c r="F25" s="28"/>
      <c r="G25" s="29">
        <f>403*4</f>
        <v>1612</v>
      </c>
    </row>
    <row r="26" spans="1:7" ht="15.75">
      <c r="A26" s="28" t="s">
        <v>39</v>
      </c>
      <c r="B26" s="28"/>
      <c r="C26" s="28"/>
      <c r="D26" s="28"/>
      <c r="E26" s="28"/>
      <c r="F26" s="28"/>
      <c r="G26" s="29">
        <f>4*352+4*251.46</f>
        <v>2413.84</v>
      </c>
    </row>
    <row r="27" spans="1:7" ht="15.75">
      <c r="A27" s="28" t="s">
        <v>40</v>
      </c>
      <c r="B27" s="28"/>
      <c r="C27" s="28"/>
      <c r="D27" s="28"/>
      <c r="E27" s="28"/>
      <c r="F27" s="28"/>
      <c r="G27" s="29">
        <f>1080.88</f>
        <v>1080.88</v>
      </c>
    </row>
    <row r="28" spans="1:7" ht="15.75" hidden="1">
      <c r="A28" s="28" t="s">
        <v>41</v>
      </c>
      <c r="B28" s="28"/>
      <c r="C28" s="28"/>
      <c r="D28" s="28"/>
      <c r="E28" s="28"/>
      <c r="F28" s="28"/>
      <c r="G28" s="29">
        <v>0</v>
      </c>
    </row>
    <row r="29" spans="1:7" ht="15.75" hidden="1">
      <c r="A29" s="28" t="s">
        <v>42</v>
      </c>
      <c r="B29" s="28"/>
      <c r="C29" s="28"/>
      <c r="D29" s="28"/>
      <c r="E29" s="28"/>
      <c r="F29" s="28"/>
      <c r="G29" s="29">
        <v>0</v>
      </c>
    </row>
    <row r="30" spans="1:7" ht="15.75">
      <c r="A30" s="28" t="s">
        <v>43</v>
      </c>
      <c r="B30" s="28"/>
      <c r="C30" s="28"/>
      <c r="D30" s="28"/>
      <c r="E30" s="28"/>
      <c r="F30" s="28"/>
      <c r="G30" s="29">
        <f>B3*1.75*4</f>
        <v>32671.100000000002</v>
      </c>
    </row>
    <row r="31" spans="1:7" ht="15.75" customHeight="1">
      <c r="A31" s="30" t="s">
        <v>44</v>
      </c>
      <c r="B31" s="30"/>
      <c r="C31" s="30"/>
      <c r="D31" s="30"/>
      <c r="E31" s="30"/>
      <c r="F31" s="30"/>
      <c r="G31" s="29">
        <f>(F13*4*8.57)+(B13*2*3.14)+(C13*1*3.14)+(D13*1*3.14)</f>
        <v>678.24</v>
      </c>
    </row>
    <row r="32" spans="1:7" ht="15.75">
      <c r="A32" s="28" t="s">
        <v>45</v>
      </c>
      <c r="B32" s="28"/>
      <c r="C32" s="28"/>
      <c r="D32" s="28"/>
      <c r="E32" s="28"/>
      <c r="F32" s="28"/>
      <c r="G32" s="29">
        <f>B3*0.65*4</f>
        <v>12134.980000000001</v>
      </c>
    </row>
    <row r="33" spans="1:7" ht="15.75">
      <c r="A33" s="28" t="s">
        <v>46</v>
      </c>
      <c r="B33" s="28"/>
      <c r="C33" s="28"/>
      <c r="D33" s="28"/>
      <c r="E33" s="28"/>
      <c r="F33" s="28"/>
      <c r="G33" s="29">
        <f>B3*0.2*4</f>
        <v>3733.84</v>
      </c>
    </row>
    <row r="34" spans="1:7" ht="15.75">
      <c r="A34" s="28" t="s">
        <v>47</v>
      </c>
      <c r="B34" s="28"/>
      <c r="C34" s="28"/>
      <c r="D34" s="28"/>
      <c r="E34" s="28"/>
      <c r="F34" s="28"/>
      <c r="G34" s="29">
        <f>B3*0.7*4</f>
        <v>13068.44</v>
      </c>
    </row>
    <row r="35" spans="1:7" ht="15.75">
      <c r="A35" s="26" t="s">
        <v>48</v>
      </c>
      <c r="B35" s="26"/>
      <c r="C35" s="26"/>
      <c r="D35" s="26"/>
      <c r="E35" s="26"/>
      <c r="F35" s="26"/>
      <c r="G35" s="32">
        <f>G15+G16+G17+G18+G19+G20+G21+G22+G23+G24+G26+G30+G31+G32+G33+G34+G27+G28+G29+G25</f>
        <v>195262.83021702062</v>
      </c>
    </row>
    <row r="36" spans="1:7" ht="20.25" customHeight="1">
      <c r="A36" s="33" t="s">
        <v>49</v>
      </c>
      <c r="B36" s="33"/>
      <c r="C36" s="33"/>
      <c r="D36" s="33"/>
      <c r="E36" s="33"/>
      <c r="F36" s="33"/>
      <c r="G36" s="29"/>
    </row>
    <row r="37" spans="1:7" ht="15.75" hidden="1">
      <c r="A37" s="28" t="s">
        <v>50</v>
      </c>
      <c r="B37" s="28"/>
      <c r="C37" s="28"/>
      <c r="D37" s="28"/>
      <c r="E37" s="28"/>
      <c r="F37" s="28"/>
      <c r="G37" s="29"/>
    </row>
    <row r="38" spans="1:7" ht="15.75">
      <c r="A38" s="28" t="s">
        <v>51</v>
      </c>
      <c r="B38" s="28"/>
      <c r="C38" s="28"/>
      <c r="D38" s="28"/>
      <c r="E38" s="28"/>
      <c r="F38" s="28"/>
      <c r="G38" s="29"/>
    </row>
    <row r="39" spans="1:7" ht="15.75" hidden="1">
      <c r="A39" s="34" t="s">
        <v>52</v>
      </c>
      <c r="B39" s="34"/>
      <c r="C39" s="34"/>
      <c r="D39" s="34"/>
      <c r="E39" s="34"/>
      <c r="F39" s="34"/>
      <c r="G39" s="29"/>
    </row>
    <row r="40" spans="1:7" ht="15.75" hidden="1">
      <c r="A40" s="34" t="s">
        <v>53</v>
      </c>
      <c r="B40" s="34"/>
      <c r="C40" s="34"/>
      <c r="D40" s="34"/>
      <c r="E40" s="34"/>
      <c r="F40" s="34"/>
      <c r="G40" s="29"/>
    </row>
    <row r="41" spans="1:7" ht="15.75" hidden="1">
      <c r="A41" s="34" t="s">
        <v>54</v>
      </c>
      <c r="B41" s="34"/>
      <c r="C41" s="34"/>
      <c r="D41" s="34"/>
      <c r="E41" s="34"/>
      <c r="F41" s="34"/>
      <c r="G41" s="29"/>
    </row>
    <row r="42" spans="1:7" ht="15.75" hidden="1">
      <c r="A42" s="34" t="s">
        <v>55</v>
      </c>
      <c r="B42" s="34"/>
      <c r="C42" s="34"/>
      <c r="D42" s="34"/>
      <c r="E42" s="34"/>
      <c r="F42" s="34"/>
      <c r="G42" s="29"/>
    </row>
    <row r="43" spans="1:7" ht="15.75" hidden="1">
      <c r="A43" s="34" t="s">
        <v>56</v>
      </c>
      <c r="B43" s="34"/>
      <c r="C43" s="34"/>
      <c r="D43" s="34"/>
      <c r="E43" s="34"/>
      <c r="F43" s="34"/>
      <c r="G43" s="29"/>
    </row>
    <row r="44" spans="1:7" ht="15.75">
      <c r="A44" s="34" t="s">
        <v>57</v>
      </c>
      <c r="B44" s="34"/>
      <c r="C44" s="34"/>
      <c r="D44" s="34"/>
      <c r="E44" s="34"/>
      <c r="F44" s="34"/>
      <c r="G44" s="29">
        <v>3270</v>
      </c>
    </row>
    <row r="45" spans="1:7" ht="15.75">
      <c r="A45" s="34" t="s">
        <v>58</v>
      </c>
      <c r="B45" s="34"/>
      <c r="C45" s="34"/>
      <c r="D45" s="34"/>
      <c r="E45" s="34"/>
      <c r="F45" s="34"/>
      <c r="G45" s="29">
        <v>168</v>
      </c>
    </row>
    <row r="46" spans="1:7" ht="15.75" hidden="1">
      <c r="A46" s="34" t="s">
        <v>59</v>
      </c>
      <c r="B46" s="34"/>
      <c r="C46" s="34"/>
      <c r="D46" s="34"/>
      <c r="E46" s="34"/>
      <c r="F46" s="34"/>
      <c r="G46" s="29"/>
    </row>
    <row r="47" spans="1:7" ht="15.75" hidden="1">
      <c r="A47" s="34" t="s">
        <v>60</v>
      </c>
      <c r="B47" s="34"/>
      <c r="C47" s="34"/>
      <c r="D47" s="34"/>
      <c r="E47" s="34"/>
      <c r="F47" s="34"/>
      <c r="G47" s="29"/>
    </row>
    <row r="48" spans="1:7" ht="15.75" hidden="1">
      <c r="A48" s="34" t="s">
        <v>61</v>
      </c>
      <c r="B48" s="34"/>
      <c r="C48" s="34"/>
      <c r="D48" s="34"/>
      <c r="E48" s="34"/>
      <c r="F48" s="34"/>
      <c r="G48" s="29"/>
    </row>
    <row r="49" spans="1:7" ht="15.75" hidden="1">
      <c r="A49" s="34" t="s">
        <v>62</v>
      </c>
      <c r="B49" s="34"/>
      <c r="C49" s="34"/>
      <c r="D49" s="34"/>
      <c r="E49" s="34"/>
      <c r="F49" s="34"/>
      <c r="G49" s="29"/>
    </row>
    <row r="50" spans="1:7" ht="15.75">
      <c r="A50" s="34" t="s">
        <v>63</v>
      </c>
      <c r="B50" s="34"/>
      <c r="C50" s="34"/>
      <c r="D50" s="34"/>
      <c r="E50" s="34"/>
      <c r="F50" s="34"/>
      <c r="G50" s="29">
        <v>5670</v>
      </c>
    </row>
    <row r="51" spans="1:7" ht="15.75" hidden="1">
      <c r="A51" s="34" t="s">
        <v>64</v>
      </c>
      <c r="B51" s="34"/>
      <c r="C51" s="34"/>
      <c r="D51" s="34"/>
      <c r="E51" s="34"/>
      <c r="F51" s="34"/>
      <c r="G51" s="29"/>
    </row>
    <row r="52" spans="1:7" ht="15.75" hidden="1">
      <c r="A52" s="34" t="s">
        <v>65</v>
      </c>
      <c r="B52" s="34"/>
      <c r="C52" s="34"/>
      <c r="D52" s="34"/>
      <c r="E52" s="34"/>
      <c r="F52" s="34"/>
      <c r="G52" s="29"/>
    </row>
    <row r="53" spans="1:7" ht="15.75" customHeight="1">
      <c r="A53" s="33" t="s">
        <v>66</v>
      </c>
      <c r="B53" s="33"/>
      <c r="C53" s="33"/>
      <c r="D53" s="33"/>
      <c r="E53" s="33"/>
      <c r="F53" s="33"/>
      <c r="G53" s="32">
        <f>G39+G40+G41+G42+G43+G44+G45+G46+G47+G48+G49+G50+G51+G52</f>
        <v>9108</v>
      </c>
    </row>
    <row r="54" spans="1:7" ht="15.75" customHeight="1">
      <c r="A54" s="33" t="s">
        <v>67</v>
      </c>
      <c r="B54" s="33"/>
      <c r="C54" s="33"/>
      <c r="D54" s="33"/>
      <c r="E54" s="33"/>
      <c r="F54" s="33"/>
      <c r="G54" s="32">
        <f>G35+G53</f>
        <v>204370.83021702062</v>
      </c>
    </row>
    <row r="55" spans="1:7" ht="15.75">
      <c r="A55" s="28" t="s">
        <v>68</v>
      </c>
      <c r="B55" s="28"/>
      <c r="C55" s="28"/>
      <c r="D55" s="28"/>
      <c r="E55" s="28"/>
      <c r="F55" s="28"/>
      <c r="G55" s="29">
        <v>-2718.95</v>
      </c>
    </row>
    <row r="56" spans="1:7" ht="15.75">
      <c r="A56" s="41" t="s">
        <v>69</v>
      </c>
      <c r="B56" s="41"/>
      <c r="C56" s="41"/>
      <c r="D56" s="41"/>
      <c r="E56" s="41"/>
      <c r="F56" s="41"/>
      <c r="G56" s="29">
        <f>281.58*4+141.6*4+180*4</f>
        <v>2412.72</v>
      </c>
    </row>
    <row r="57" spans="1:7" ht="15.75" customHeight="1">
      <c r="A57" s="42" t="s">
        <v>70</v>
      </c>
      <c r="B57" s="42"/>
      <c r="C57" s="42"/>
      <c r="D57" s="42"/>
      <c r="E57" s="42"/>
      <c r="F57" s="42"/>
      <c r="G57" s="32">
        <f>B3*B5*4+G56</f>
        <v>283944.256</v>
      </c>
    </row>
    <row r="58" spans="1:7" ht="15.75" customHeight="1">
      <c r="A58" s="43" t="s">
        <v>71</v>
      </c>
      <c r="B58" s="43"/>
      <c r="C58" s="43"/>
      <c r="D58" s="43"/>
      <c r="E58" s="43"/>
      <c r="F58" s="43"/>
      <c r="G58" s="44">
        <v>13718.56</v>
      </c>
    </row>
    <row r="59" spans="1:7" ht="65.25" customHeight="1">
      <c r="A59" s="33" t="s">
        <v>82</v>
      </c>
      <c r="B59" s="33"/>
      <c r="C59" s="33"/>
      <c r="D59" s="33"/>
      <c r="E59" s="33"/>
      <c r="F59" s="33"/>
      <c r="G59" s="32">
        <f>G54-G57-G55+G58</f>
        <v>-63135.915782979384</v>
      </c>
    </row>
  </sheetData>
  <sheetProtection selectLockedCells="1" selectUnlockedCells="1"/>
  <mergeCells count="48">
    <mergeCell ref="A1:G1"/>
    <mergeCell ref="B2:E2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3"/>
  </sheetPr>
  <dimension ref="A1:G138"/>
  <sheetViews>
    <sheetView tabSelected="1" zoomScale="75" zoomScaleNormal="75" workbookViewId="0" topLeftCell="A75">
      <pane ySplit="65535" topLeftCell="A75" activePane="topLeft" state="split"/>
      <selection pane="topLeft" activeCell="A77" sqref="A77:G138"/>
      <selection pane="bottomLeft" activeCell="A75" sqref="A75"/>
    </sheetView>
  </sheetViews>
  <sheetFormatPr defaultColWidth="9.140625" defaultRowHeight="12.75"/>
  <cols>
    <col min="1" max="1" width="23.8515625" style="1" customWidth="1"/>
    <col min="2" max="2" width="11.57421875" style="1" customWidth="1"/>
    <col min="3" max="4" width="9.140625" style="1" customWidth="1"/>
    <col min="5" max="5" width="10.140625" style="1" customWidth="1"/>
    <col min="6" max="6" width="21.421875" style="1" customWidth="1"/>
    <col min="7" max="7" width="15.57421875" style="1" customWidth="1"/>
    <col min="8" max="16384" width="9.140625" style="1" customWidth="1"/>
  </cols>
  <sheetData>
    <row r="1" spans="1:7" ht="39" customHeight="1">
      <c r="A1" s="48" t="s">
        <v>0</v>
      </c>
      <c r="B1" s="48"/>
      <c r="C1" s="48"/>
      <c r="D1" s="48"/>
      <c r="E1" s="48"/>
      <c r="F1" s="48"/>
      <c r="G1" s="48"/>
    </row>
    <row r="2" spans="1:7" ht="18.75">
      <c r="A2" s="6" t="s">
        <v>1</v>
      </c>
      <c r="B2" s="7" t="s">
        <v>113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4</v>
      </c>
      <c r="B3" s="10">
        <v>6351.6</v>
      </c>
      <c r="F3" s="8" t="s">
        <v>5</v>
      </c>
      <c r="G3" s="11">
        <v>8</v>
      </c>
    </row>
    <row r="4" spans="1:7" ht="18.75">
      <c r="A4" s="12" t="s">
        <v>6</v>
      </c>
      <c r="B4" s="13"/>
      <c r="F4" s="8" t="s">
        <v>8</v>
      </c>
      <c r="G4" s="9">
        <v>1973</v>
      </c>
    </row>
    <row r="5" spans="1:3" ht="16.5" customHeight="1">
      <c r="A5" s="12" t="s">
        <v>6</v>
      </c>
      <c r="B5" s="13">
        <v>11.3</v>
      </c>
      <c r="C5" s="1" t="s">
        <v>114</v>
      </c>
    </row>
    <row r="6" spans="1:7" ht="18.75" hidden="1">
      <c r="A6" s="14" t="s">
        <v>10</v>
      </c>
      <c r="B6" s="15">
        <v>571.9</v>
      </c>
      <c r="C6" s="16"/>
      <c r="D6" s="16"/>
      <c r="E6" s="16"/>
      <c r="F6" s="16"/>
      <c r="G6" s="16"/>
    </row>
    <row r="7" spans="1:7" ht="18.75" hidden="1">
      <c r="A7" s="14" t="s">
        <v>12</v>
      </c>
      <c r="B7" s="17">
        <v>0</v>
      </c>
      <c r="C7" s="16"/>
      <c r="D7" s="16"/>
      <c r="E7" s="16"/>
      <c r="F7" s="16"/>
      <c r="G7" s="16"/>
    </row>
    <row r="8" spans="1:7" ht="38.25" customHeight="1" hidden="1">
      <c r="A8" s="18" t="s">
        <v>13</v>
      </c>
      <c r="B8" s="19" t="s">
        <v>14</v>
      </c>
      <c r="C8" s="19" t="s">
        <v>15</v>
      </c>
      <c r="D8" s="19" t="s">
        <v>16</v>
      </c>
      <c r="E8" s="19" t="s">
        <v>17</v>
      </c>
      <c r="F8" s="16"/>
      <c r="G8" s="16"/>
    </row>
    <row r="9" spans="1:7" ht="20.25" customHeight="1" hidden="1">
      <c r="A9" s="14"/>
      <c r="B9" s="17">
        <v>1005</v>
      </c>
      <c r="C9" s="17">
        <v>4460</v>
      </c>
      <c r="D9" s="17">
        <v>961</v>
      </c>
      <c r="E9" s="17">
        <v>4504</v>
      </c>
      <c r="F9" s="16"/>
      <c r="G9" s="16"/>
    </row>
    <row r="10" spans="1:7" ht="18.75" hidden="1">
      <c r="A10" s="14" t="s">
        <v>18</v>
      </c>
      <c r="B10" s="20">
        <v>0</v>
      </c>
      <c r="C10" s="16"/>
      <c r="D10" s="16"/>
      <c r="E10" s="16"/>
      <c r="F10" s="16"/>
      <c r="G10" s="16"/>
    </row>
    <row r="11" spans="1:7" ht="19.5" hidden="1">
      <c r="A11" s="14" t="s">
        <v>19</v>
      </c>
      <c r="B11" s="20">
        <v>1149.7</v>
      </c>
      <c r="C11" s="20">
        <v>1156</v>
      </c>
      <c r="D11" s="20">
        <f>B11+C11</f>
        <v>2305.7</v>
      </c>
      <c r="E11" s="16"/>
      <c r="F11" s="16"/>
      <c r="G11" s="16"/>
    </row>
    <row r="12" spans="1:7" ht="50.25" customHeight="1" hidden="1">
      <c r="A12" s="14" t="s">
        <v>20</v>
      </c>
      <c r="B12" s="19" t="s">
        <v>21</v>
      </c>
      <c r="C12" s="21" t="s">
        <v>22</v>
      </c>
      <c r="D12" s="19" t="s">
        <v>23</v>
      </c>
      <c r="E12" s="22" t="s">
        <v>24</v>
      </c>
      <c r="F12" s="17" t="s">
        <v>25</v>
      </c>
      <c r="G12" s="16"/>
    </row>
    <row r="13" spans="1:7" ht="23.25" customHeight="1" hidden="1">
      <c r="A13" s="23"/>
      <c r="B13" s="24">
        <v>119</v>
      </c>
      <c r="C13" s="24">
        <v>119</v>
      </c>
      <c r="D13" s="24"/>
      <c r="E13" s="25">
        <f>D13+C13+B13</f>
        <v>238</v>
      </c>
      <c r="F13" s="17"/>
      <c r="G13" s="16"/>
    </row>
    <row r="14" spans="1:7" ht="18.75" customHeight="1">
      <c r="A14" s="26" t="s">
        <v>26</v>
      </c>
      <c r="B14" s="26"/>
      <c r="C14" s="26"/>
      <c r="D14" s="26"/>
      <c r="E14" s="26"/>
      <c r="F14" s="26"/>
      <c r="G14" s="27" t="s">
        <v>27</v>
      </c>
    </row>
    <row r="15" spans="1:7" ht="15.75">
      <c r="A15" s="28" t="s">
        <v>28</v>
      </c>
      <c r="B15" s="28"/>
      <c r="C15" s="28"/>
      <c r="D15" s="28"/>
      <c r="E15" s="28"/>
      <c r="F15" s="28"/>
      <c r="G15" s="29">
        <f>B6*8.689*4</f>
        <v>19876.9564</v>
      </c>
    </row>
    <row r="16" spans="1:7" ht="15.75" hidden="1">
      <c r="A16" s="28" t="s">
        <v>29</v>
      </c>
      <c r="B16" s="28"/>
      <c r="C16" s="28"/>
      <c r="D16" s="28"/>
      <c r="E16" s="28"/>
      <c r="F16" s="28"/>
      <c r="G16" s="29">
        <f>B7*19.03*12</f>
        <v>0</v>
      </c>
    </row>
    <row r="17" spans="1:7" ht="15.75" hidden="1">
      <c r="A17" s="28" t="s">
        <v>30</v>
      </c>
      <c r="B17" s="28"/>
      <c r="C17" s="28"/>
      <c r="D17" s="28"/>
      <c r="E17" s="28"/>
      <c r="F17" s="28"/>
      <c r="G17" s="29">
        <f>B10*0.4523*12</f>
        <v>0</v>
      </c>
    </row>
    <row r="18" spans="1:7" ht="15.75">
      <c r="A18" s="28" t="s">
        <v>31</v>
      </c>
      <c r="B18" s="28"/>
      <c r="C18" s="28"/>
      <c r="D18" s="28"/>
      <c r="E18" s="28"/>
      <c r="F18" s="28"/>
      <c r="G18" s="29">
        <f>(B9*12.84/100*64)+(C9*9.63/100*38)+(D9*32.11/100*26)+(E9*2.41/100*5)</f>
        <v>33145.3486</v>
      </c>
    </row>
    <row r="19" spans="1:7" ht="15.75" customHeight="1">
      <c r="A19" s="30" t="s">
        <v>32</v>
      </c>
      <c r="B19" s="30"/>
      <c r="C19" s="30"/>
      <c r="D19" s="30"/>
      <c r="E19" s="30"/>
      <c r="F19" s="30"/>
      <c r="G19" s="31">
        <f>574906.73/199064.79*B3</f>
        <v>18343.663820548074</v>
      </c>
    </row>
    <row r="20" spans="1:7" ht="15.75">
      <c r="A20" s="28" t="s">
        <v>33</v>
      </c>
      <c r="B20" s="28"/>
      <c r="C20" s="28"/>
      <c r="D20" s="28"/>
      <c r="E20" s="28"/>
      <c r="F20" s="28"/>
      <c r="G20" s="29">
        <f>D11*0.14*2+1437.13+1437.13</f>
        <v>3519.856</v>
      </c>
    </row>
    <row r="21" spans="1:7" ht="15.75" hidden="1">
      <c r="A21" s="28" t="s">
        <v>34</v>
      </c>
      <c r="B21" s="28"/>
      <c r="C21" s="28"/>
      <c r="D21" s="28"/>
      <c r="E21" s="28"/>
      <c r="F21" s="28"/>
      <c r="G21" s="29">
        <v>0</v>
      </c>
    </row>
    <row r="22" spans="1:7" ht="15.75">
      <c r="A22" s="28" t="s">
        <v>35</v>
      </c>
      <c r="B22" s="28"/>
      <c r="C22" s="28"/>
      <c r="D22" s="28"/>
      <c r="E22" s="28"/>
      <c r="F22" s="28"/>
      <c r="G22" s="29">
        <f>B3*0.845*4</f>
        <v>21468.408</v>
      </c>
    </row>
    <row r="23" spans="1:7" ht="15.75" hidden="1">
      <c r="A23" s="28" t="s">
        <v>36</v>
      </c>
      <c r="B23" s="28"/>
      <c r="C23" s="28"/>
      <c r="D23" s="28"/>
      <c r="E23" s="28"/>
      <c r="F23" s="28"/>
      <c r="G23" s="29">
        <v>0</v>
      </c>
    </row>
    <row r="24" spans="1:7" ht="15.75" hidden="1">
      <c r="A24" s="28" t="s">
        <v>37</v>
      </c>
      <c r="B24" s="28"/>
      <c r="C24" s="28"/>
      <c r="D24" s="28"/>
      <c r="E24" s="28"/>
      <c r="F24" s="28"/>
      <c r="G24" s="29">
        <v>0</v>
      </c>
    </row>
    <row r="25" spans="1:7" ht="15.75" hidden="1">
      <c r="A25" s="28" t="s">
        <v>38</v>
      </c>
      <c r="B25" s="28"/>
      <c r="C25" s="28"/>
      <c r="D25" s="28"/>
      <c r="E25" s="28"/>
      <c r="F25" s="28"/>
      <c r="G25" s="29">
        <v>0</v>
      </c>
    </row>
    <row r="26" spans="1:7" ht="15.75">
      <c r="A26" s="28" t="s">
        <v>39</v>
      </c>
      <c r="B26" s="28"/>
      <c r="C26" s="28"/>
      <c r="D26" s="28"/>
      <c r="E26" s="28"/>
      <c r="F26" s="28"/>
      <c r="G26" s="29">
        <f>4*352+4*251.46</f>
        <v>2413.84</v>
      </c>
    </row>
    <row r="27" spans="1:7" ht="15.75">
      <c r="A27" s="28" t="s">
        <v>40</v>
      </c>
      <c r="B27" s="28"/>
      <c r="C27" s="28"/>
      <c r="D27" s="28"/>
      <c r="E27" s="28"/>
      <c r="F27" s="28"/>
      <c r="G27" s="29">
        <f>1080.88</f>
        <v>1080.88</v>
      </c>
    </row>
    <row r="28" spans="1:7" ht="15.75" hidden="1">
      <c r="A28" s="28" t="s">
        <v>41</v>
      </c>
      <c r="B28" s="28"/>
      <c r="C28" s="28"/>
      <c r="D28" s="28"/>
      <c r="E28" s="28"/>
      <c r="F28" s="28"/>
      <c r="G28" s="29">
        <v>0</v>
      </c>
    </row>
    <row r="29" spans="1:7" ht="15.75" hidden="1">
      <c r="A29" s="28" t="s">
        <v>42</v>
      </c>
      <c r="B29" s="28"/>
      <c r="C29" s="28"/>
      <c r="D29" s="28"/>
      <c r="E29" s="28"/>
      <c r="F29" s="28"/>
      <c r="G29" s="29">
        <v>0</v>
      </c>
    </row>
    <row r="30" spans="1:7" ht="15.75">
      <c r="A30" s="28" t="s">
        <v>43</v>
      </c>
      <c r="B30" s="28"/>
      <c r="C30" s="28"/>
      <c r="D30" s="28"/>
      <c r="E30" s="28"/>
      <c r="F30" s="28"/>
      <c r="G30" s="29">
        <f>B3*1.75*4</f>
        <v>44461.200000000004</v>
      </c>
    </row>
    <row r="31" spans="1:7" ht="15.75" customHeight="1">
      <c r="A31" s="30" t="s">
        <v>44</v>
      </c>
      <c r="B31" s="30"/>
      <c r="C31" s="30"/>
      <c r="D31" s="30"/>
      <c r="E31" s="30"/>
      <c r="F31" s="30"/>
      <c r="G31" s="29">
        <f>(F13*4*8.57)+(B13*2*3.14)+(C13*1*3.14)+(D13*1*3.14)</f>
        <v>1120.98</v>
      </c>
    </row>
    <row r="32" spans="1:7" ht="15.75">
      <c r="A32" s="28" t="s">
        <v>45</v>
      </c>
      <c r="B32" s="28"/>
      <c r="C32" s="28"/>
      <c r="D32" s="28"/>
      <c r="E32" s="28"/>
      <c r="F32" s="28"/>
      <c r="G32" s="29">
        <f>B3*0.65*4</f>
        <v>16514.16</v>
      </c>
    </row>
    <row r="33" spans="1:7" ht="15.75">
      <c r="A33" s="28" t="s">
        <v>46</v>
      </c>
      <c r="B33" s="28"/>
      <c r="C33" s="28"/>
      <c r="D33" s="28"/>
      <c r="E33" s="28"/>
      <c r="F33" s="28"/>
      <c r="G33" s="29">
        <f>B3*0.2*4</f>
        <v>5081.280000000001</v>
      </c>
    </row>
    <row r="34" spans="1:7" ht="15.75">
      <c r="A34" s="28" t="s">
        <v>47</v>
      </c>
      <c r="B34" s="28"/>
      <c r="C34" s="28"/>
      <c r="D34" s="28"/>
      <c r="E34" s="28"/>
      <c r="F34" s="28"/>
      <c r="G34" s="29">
        <f>B3*0.7*4</f>
        <v>17784.48</v>
      </c>
    </row>
    <row r="35" spans="1:7" ht="15.75">
      <c r="A35" s="26" t="s">
        <v>48</v>
      </c>
      <c r="B35" s="26"/>
      <c r="C35" s="26"/>
      <c r="D35" s="26"/>
      <c r="E35" s="26"/>
      <c r="F35" s="26"/>
      <c r="G35" s="32">
        <f>G15+G16+G17+G18+G19+G20+G21+G22+G23+G24+G26+G30+G31+G32+G33+G34+G27+G28+G29+G25</f>
        <v>184811.0528205481</v>
      </c>
    </row>
    <row r="36" spans="1:7" ht="20.25" customHeight="1">
      <c r="A36" s="33" t="s">
        <v>49</v>
      </c>
      <c r="B36" s="33"/>
      <c r="C36" s="33"/>
      <c r="D36" s="33"/>
      <c r="E36" s="33"/>
      <c r="F36" s="33"/>
      <c r="G36" s="29"/>
    </row>
    <row r="37" spans="1:7" ht="15.75" hidden="1">
      <c r="A37" s="28" t="s">
        <v>50</v>
      </c>
      <c r="B37" s="28"/>
      <c r="C37" s="28"/>
      <c r="D37" s="28"/>
      <c r="E37" s="28"/>
      <c r="F37" s="28"/>
      <c r="G37" s="29"/>
    </row>
    <row r="38" spans="1:7" ht="15.75">
      <c r="A38" s="28" t="s">
        <v>51</v>
      </c>
      <c r="B38" s="28"/>
      <c r="C38" s="28"/>
      <c r="D38" s="28"/>
      <c r="E38" s="28"/>
      <c r="F38" s="28"/>
      <c r="G38" s="29"/>
    </row>
    <row r="39" spans="1:7" ht="15.75" hidden="1">
      <c r="A39" s="34" t="s">
        <v>52</v>
      </c>
      <c r="B39" s="34"/>
      <c r="C39" s="34"/>
      <c r="D39" s="34"/>
      <c r="E39" s="34"/>
      <c r="F39" s="34"/>
      <c r="G39" s="29"/>
    </row>
    <row r="40" spans="1:7" ht="15.75" hidden="1">
      <c r="A40" s="34" t="s">
        <v>53</v>
      </c>
      <c r="B40" s="34"/>
      <c r="C40" s="34"/>
      <c r="D40" s="34"/>
      <c r="E40" s="34"/>
      <c r="F40" s="34"/>
      <c r="G40" s="29"/>
    </row>
    <row r="41" spans="1:7" ht="15.75" hidden="1">
      <c r="A41" s="34" t="s">
        <v>54</v>
      </c>
      <c r="B41" s="34"/>
      <c r="C41" s="34"/>
      <c r="D41" s="34"/>
      <c r="E41" s="34"/>
      <c r="F41" s="34"/>
      <c r="G41" s="29"/>
    </row>
    <row r="42" spans="1:7" ht="15.75" hidden="1">
      <c r="A42" s="34" t="s">
        <v>55</v>
      </c>
      <c r="B42" s="34"/>
      <c r="C42" s="34"/>
      <c r="D42" s="34"/>
      <c r="E42" s="34"/>
      <c r="F42" s="34"/>
      <c r="G42" s="29"/>
    </row>
    <row r="43" spans="1:7" ht="15.75" hidden="1">
      <c r="A43" s="34" t="s">
        <v>56</v>
      </c>
      <c r="B43" s="34"/>
      <c r="C43" s="34"/>
      <c r="D43" s="34"/>
      <c r="E43" s="34"/>
      <c r="F43" s="34"/>
      <c r="G43" s="29"/>
    </row>
    <row r="44" spans="1:7" ht="15.75" hidden="1">
      <c r="A44" s="34" t="s">
        <v>57</v>
      </c>
      <c r="B44" s="34"/>
      <c r="C44" s="34"/>
      <c r="D44" s="34"/>
      <c r="E44" s="34"/>
      <c r="F44" s="34"/>
      <c r="G44" s="29"/>
    </row>
    <row r="45" spans="1:7" ht="15.75">
      <c r="A45" s="34" t="s">
        <v>58</v>
      </c>
      <c r="B45" s="34"/>
      <c r="C45" s="34"/>
      <c r="D45" s="34"/>
      <c r="E45" s="34"/>
      <c r="F45" s="34"/>
      <c r="G45" s="29">
        <v>898</v>
      </c>
    </row>
    <row r="46" spans="1:7" ht="15.75" hidden="1">
      <c r="A46" s="34" t="s">
        <v>59</v>
      </c>
      <c r="B46" s="34"/>
      <c r="C46" s="34"/>
      <c r="D46" s="34"/>
      <c r="E46" s="34"/>
      <c r="F46" s="34"/>
      <c r="G46" s="29"/>
    </row>
    <row r="47" spans="1:7" ht="15.75" hidden="1">
      <c r="A47" s="34" t="s">
        <v>60</v>
      </c>
      <c r="B47" s="34"/>
      <c r="C47" s="34"/>
      <c r="D47" s="34"/>
      <c r="E47" s="34"/>
      <c r="F47" s="34"/>
      <c r="G47" s="29"/>
    </row>
    <row r="48" spans="1:7" ht="15.75" hidden="1">
      <c r="A48" s="34" t="s">
        <v>61</v>
      </c>
      <c r="B48" s="34"/>
      <c r="C48" s="34"/>
      <c r="D48" s="34"/>
      <c r="E48" s="34"/>
      <c r="F48" s="34"/>
      <c r="G48" s="29"/>
    </row>
    <row r="49" spans="1:7" ht="15.75">
      <c r="A49" s="34" t="s">
        <v>62</v>
      </c>
      <c r="B49" s="34"/>
      <c r="C49" s="34"/>
      <c r="D49" s="34"/>
      <c r="E49" s="34"/>
      <c r="F49" s="34"/>
      <c r="G49" s="29">
        <v>41670</v>
      </c>
    </row>
    <row r="50" spans="1:7" ht="15.75">
      <c r="A50" s="34" t="s">
        <v>63</v>
      </c>
      <c r="B50" s="34"/>
      <c r="C50" s="34"/>
      <c r="D50" s="34"/>
      <c r="E50" s="34"/>
      <c r="F50" s="34"/>
      <c r="G50" s="29">
        <v>10060</v>
      </c>
    </row>
    <row r="51" spans="1:7" ht="15.75" hidden="1">
      <c r="A51" s="34" t="s">
        <v>64</v>
      </c>
      <c r="B51" s="34"/>
      <c r="C51" s="34"/>
      <c r="D51" s="34"/>
      <c r="E51" s="34"/>
      <c r="F51" s="34"/>
      <c r="G51" s="29"/>
    </row>
    <row r="52" spans="1:7" ht="15.75" hidden="1">
      <c r="A52" s="34" t="s">
        <v>65</v>
      </c>
      <c r="B52" s="34"/>
      <c r="C52" s="34"/>
      <c r="D52" s="34"/>
      <c r="E52" s="34"/>
      <c r="F52" s="34"/>
      <c r="G52" s="29"/>
    </row>
    <row r="53" spans="1:7" ht="15.75" customHeight="1">
      <c r="A53" s="33" t="s">
        <v>66</v>
      </c>
      <c r="B53" s="33"/>
      <c r="C53" s="33"/>
      <c r="D53" s="33"/>
      <c r="E53" s="33"/>
      <c r="F53" s="33"/>
      <c r="G53" s="32">
        <f>G39+G40+G41+G42+G43+G44+G45+G46+G47+G48+G49+G50+G51+G52</f>
        <v>52628</v>
      </c>
    </row>
    <row r="54" spans="1:7" ht="15.75" customHeight="1">
      <c r="A54" s="33" t="s">
        <v>67</v>
      </c>
      <c r="B54" s="33"/>
      <c r="C54" s="33"/>
      <c r="D54" s="33"/>
      <c r="E54" s="33"/>
      <c r="F54" s="33"/>
      <c r="G54" s="32">
        <f>G35+G53</f>
        <v>237439.0528205481</v>
      </c>
    </row>
    <row r="55" spans="1:7" ht="15.75">
      <c r="A55" s="28" t="s">
        <v>68</v>
      </c>
      <c r="B55" s="28"/>
      <c r="C55" s="28"/>
      <c r="D55" s="28"/>
      <c r="E55" s="28"/>
      <c r="F55" s="28"/>
      <c r="G55" s="29">
        <v>-10378.78</v>
      </c>
    </row>
    <row r="56" spans="1:7" ht="15.75">
      <c r="A56" s="41" t="s">
        <v>69</v>
      </c>
      <c r="B56" s="41"/>
      <c r="C56" s="41"/>
      <c r="D56" s="41"/>
      <c r="E56" s="41"/>
      <c r="F56" s="41"/>
      <c r="G56" s="29">
        <f>2*281.58*4+141.6*4+180*4</f>
        <v>3539.04</v>
      </c>
    </row>
    <row r="57" spans="1:7" ht="15.75" customHeight="1">
      <c r="A57" s="42" t="s">
        <v>70</v>
      </c>
      <c r="B57" s="42"/>
      <c r="C57" s="42"/>
      <c r="D57" s="42"/>
      <c r="E57" s="42"/>
      <c r="F57" s="42"/>
      <c r="G57" s="32">
        <f>B3*B5*4+G56</f>
        <v>290631.36</v>
      </c>
    </row>
    <row r="58" spans="1:7" ht="15.75" customHeight="1">
      <c r="A58" s="43" t="s">
        <v>71</v>
      </c>
      <c r="B58" s="43"/>
      <c r="C58" s="43"/>
      <c r="D58" s="43"/>
      <c r="E58" s="43"/>
      <c r="F58" s="43"/>
      <c r="G58" s="44">
        <v>38644.29</v>
      </c>
    </row>
    <row r="59" spans="1:7" ht="65.25" customHeight="1">
      <c r="A59" s="49" t="s">
        <v>115</v>
      </c>
      <c r="B59" s="49"/>
      <c r="C59" s="49"/>
      <c r="D59" s="49"/>
      <c r="E59" s="49"/>
      <c r="F59" s="49"/>
      <c r="G59" s="50">
        <f>G54-G57-G55+G58</f>
        <v>-4169.237179451891</v>
      </c>
    </row>
    <row r="60" ht="12.75"/>
    <row r="73" ht="12.75"/>
    <row r="74" ht="12.75"/>
    <row r="75" ht="12.75"/>
    <row r="76" ht="12.75"/>
    <row r="77" spans="1:7" ht="50.25" customHeight="1">
      <c r="A77" s="48" t="s">
        <v>116</v>
      </c>
      <c r="B77" s="48"/>
      <c r="C77" s="48"/>
      <c r="D77" s="48"/>
      <c r="E77" s="48"/>
      <c r="F77" s="48"/>
      <c r="G77" s="48"/>
    </row>
    <row r="78" spans="1:7" ht="19.5">
      <c r="A78" s="6" t="s">
        <v>1</v>
      </c>
      <c r="B78" s="7" t="s">
        <v>113</v>
      </c>
      <c r="C78" s="7"/>
      <c r="D78" s="7"/>
      <c r="E78" s="7"/>
      <c r="F78" s="8" t="s">
        <v>3</v>
      </c>
      <c r="G78" s="9">
        <v>5</v>
      </c>
    </row>
    <row r="79" spans="1:7" ht="19.5">
      <c r="A79" s="6" t="s">
        <v>4</v>
      </c>
      <c r="B79" s="10">
        <v>6351.6</v>
      </c>
      <c r="F79" s="8" t="s">
        <v>5</v>
      </c>
      <c r="G79" s="11">
        <v>8</v>
      </c>
    </row>
    <row r="80" spans="1:7" ht="19.5">
      <c r="A80" s="12" t="s">
        <v>6</v>
      </c>
      <c r="B80" s="13"/>
      <c r="F80" s="8" t="s">
        <v>8</v>
      </c>
      <c r="G80" s="9">
        <v>1973</v>
      </c>
    </row>
    <row r="81" spans="1:2" ht="19.5">
      <c r="A81" s="12" t="s">
        <v>6</v>
      </c>
      <c r="B81" s="13">
        <v>11.3</v>
      </c>
    </row>
    <row r="82" spans="1:7" ht="19.5" hidden="1">
      <c r="A82" s="14" t="s">
        <v>10</v>
      </c>
      <c r="B82" s="15">
        <v>571.9</v>
      </c>
      <c r="C82" s="16"/>
      <c r="D82" s="16"/>
      <c r="E82" s="16"/>
      <c r="F82" s="16"/>
      <c r="G82" s="16"/>
    </row>
    <row r="83" spans="1:7" ht="19.5" hidden="1">
      <c r="A83" s="14" t="s">
        <v>12</v>
      </c>
      <c r="B83" s="17">
        <v>0</v>
      </c>
      <c r="C83" s="16"/>
      <c r="D83" s="16"/>
      <c r="E83" s="16"/>
      <c r="F83" s="16"/>
      <c r="G83" s="16"/>
    </row>
    <row r="84" spans="1:7" ht="35.25" hidden="1">
      <c r="A84" s="18" t="s">
        <v>13</v>
      </c>
      <c r="B84" s="19" t="s">
        <v>14</v>
      </c>
      <c r="C84" s="19" t="s">
        <v>15</v>
      </c>
      <c r="D84" s="19" t="s">
        <v>16</v>
      </c>
      <c r="E84" s="19" t="s">
        <v>17</v>
      </c>
      <c r="F84" s="16"/>
      <c r="G84" s="16"/>
    </row>
    <row r="85" spans="1:7" ht="19.5" hidden="1">
      <c r="A85" s="14"/>
      <c r="B85" s="17">
        <v>1005</v>
      </c>
      <c r="C85" s="17">
        <v>4460</v>
      </c>
      <c r="D85" s="17">
        <v>961</v>
      </c>
      <c r="E85" s="17">
        <v>4504</v>
      </c>
      <c r="F85" s="16"/>
      <c r="G85" s="16"/>
    </row>
    <row r="86" spans="1:7" ht="19.5" hidden="1">
      <c r="A86" s="14" t="s">
        <v>18</v>
      </c>
      <c r="B86" s="20">
        <v>0</v>
      </c>
      <c r="C86" s="16"/>
      <c r="D86" s="16"/>
      <c r="E86" s="16"/>
      <c r="F86" s="16"/>
      <c r="G86" s="16"/>
    </row>
    <row r="87" spans="1:7" ht="19.5" hidden="1">
      <c r="A87" s="14" t="s">
        <v>19</v>
      </c>
      <c r="B87" s="20">
        <v>1149.7</v>
      </c>
      <c r="C87" s="20">
        <v>1156</v>
      </c>
      <c r="D87" s="20">
        <f>B87+C87</f>
        <v>2305.7</v>
      </c>
      <c r="E87" s="16"/>
      <c r="F87" s="16"/>
      <c r="G87" s="16"/>
    </row>
    <row r="88" spans="1:7" ht="46.5" hidden="1">
      <c r="A88" s="14" t="s">
        <v>20</v>
      </c>
      <c r="B88" s="19" t="s">
        <v>21</v>
      </c>
      <c r="C88" s="21" t="s">
        <v>22</v>
      </c>
      <c r="D88" s="19" t="s">
        <v>23</v>
      </c>
      <c r="E88" s="22" t="s">
        <v>24</v>
      </c>
      <c r="F88" s="17" t="s">
        <v>25</v>
      </c>
      <c r="G88" s="16"/>
    </row>
    <row r="89" spans="1:7" ht="19.5" hidden="1">
      <c r="A89" s="23"/>
      <c r="B89" s="24">
        <v>119</v>
      </c>
      <c r="C89" s="24">
        <v>119</v>
      </c>
      <c r="D89" s="24"/>
      <c r="E89" s="25">
        <f>D89+C89+B89</f>
        <v>238</v>
      </c>
      <c r="F89" s="17"/>
      <c r="G89" s="16"/>
    </row>
    <row r="90" spans="1:7" ht="17.25">
      <c r="A90" s="26" t="s">
        <v>26</v>
      </c>
      <c r="B90" s="26"/>
      <c r="C90" s="26"/>
      <c r="D90" s="26"/>
      <c r="E90" s="26"/>
      <c r="F90" s="26"/>
      <c r="G90" s="27" t="s">
        <v>27</v>
      </c>
    </row>
    <row r="91" spans="1:7" ht="17.25">
      <c r="A91" s="28" t="s">
        <v>28</v>
      </c>
      <c r="B91" s="28"/>
      <c r="C91" s="28"/>
      <c r="D91" s="28"/>
      <c r="E91" s="28"/>
      <c r="F91" s="28"/>
      <c r="G91" s="29">
        <f>B82*8.689*7</f>
        <v>34784.6737</v>
      </c>
    </row>
    <row r="92" spans="1:7" ht="17.25" hidden="1">
      <c r="A92" s="28" t="s">
        <v>29</v>
      </c>
      <c r="B92" s="28"/>
      <c r="C92" s="28"/>
      <c r="D92" s="28"/>
      <c r="E92" s="28"/>
      <c r="F92" s="28"/>
      <c r="G92" s="29">
        <f>B83*19.03*12</f>
        <v>0</v>
      </c>
    </row>
    <row r="93" spans="1:7" ht="17.25" hidden="1">
      <c r="A93" s="28" t="s">
        <v>30</v>
      </c>
      <c r="B93" s="28"/>
      <c r="C93" s="28"/>
      <c r="D93" s="28"/>
      <c r="E93" s="28"/>
      <c r="F93" s="28"/>
      <c r="G93" s="29">
        <f>B86*0.4523*12</f>
        <v>0</v>
      </c>
    </row>
    <row r="94" spans="1:7" ht="17.25">
      <c r="A94" s="28" t="s">
        <v>31</v>
      </c>
      <c r="B94" s="28"/>
      <c r="C94" s="28"/>
      <c r="D94" s="28"/>
      <c r="E94" s="28"/>
      <c r="F94" s="28"/>
      <c r="G94" s="29">
        <f>(B85*12.84/100*90)+(C85*9.63/100*42)+(D85*32.11/100*70)+(E85*2.41/100*12)</f>
        <v>52555.6498</v>
      </c>
    </row>
    <row r="95" spans="1:7" ht="17.25" customHeight="1">
      <c r="A95" s="30" t="s">
        <v>32</v>
      </c>
      <c r="B95" s="30"/>
      <c r="C95" s="30"/>
      <c r="D95" s="30"/>
      <c r="E95" s="30"/>
      <c r="F95" s="30"/>
      <c r="G95" s="31">
        <f>715212.13/199064.79*B79</f>
        <v>22820.416231860996</v>
      </c>
    </row>
    <row r="96" spans="1:7" ht="17.25">
      <c r="A96" s="28" t="s">
        <v>33</v>
      </c>
      <c r="B96" s="28"/>
      <c r="C96" s="28"/>
      <c r="D96" s="28"/>
      <c r="E96" s="28"/>
      <c r="F96" s="28"/>
      <c r="G96" s="29">
        <f>D87*0.14*2+1437.13+1437.13</f>
        <v>3519.856</v>
      </c>
    </row>
    <row r="97" spans="1:7" ht="17.25">
      <c r="A97" s="28" t="s">
        <v>34</v>
      </c>
      <c r="B97" s="28"/>
      <c r="C97" s="28"/>
      <c r="D97" s="28"/>
      <c r="E97" s="28"/>
      <c r="F97" s="28"/>
      <c r="G97" s="29">
        <f>114.94+7266.74+2528.79+7931.02</f>
        <v>17841.489999999998</v>
      </c>
    </row>
    <row r="98" spans="1:7" ht="17.25">
      <c r="A98" s="28" t="s">
        <v>35</v>
      </c>
      <c r="B98" s="28"/>
      <c r="C98" s="28"/>
      <c r="D98" s="28"/>
      <c r="E98" s="28"/>
      <c r="F98" s="28"/>
      <c r="G98" s="29">
        <f>B79*0.845*7</f>
        <v>37569.714</v>
      </c>
    </row>
    <row r="99" spans="1:7" ht="17.25" hidden="1">
      <c r="A99" s="28" t="s">
        <v>36</v>
      </c>
      <c r="B99" s="28"/>
      <c r="C99" s="28"/>
      <c r="D99" s="28"/>
      <c r="E99" s="28"/>
      <c r="F99" s="28"/>
      <c r="G99" s="29">
        <v>0</v>
      </c>
    </row>
    <row r="100" spans="1:7" ht="17.25" hidden="1">
      <c r="A100" s="28" t="s">
        <v>37</v>
      </c>
      <c r="B100" s="28"/>
      <c r="C100" s="28"/>
      <c r="D100" s="28"/>
      <c r="E100" s="28"/>
      <c r="F100" s="28"/>
      <c r="G100" s="29">
        <v>0</v>
      </c>
    </row>
    <row r="101" spans="1:7" ht="17.25" hidden="1">
      <c r="A101" s="28" t="s">
        <v>38</v>
      </c>
      <c r="B101" s="28"/>
      <c r="C101" s="28"/>
      <c r="D101" s="28"/>
      <c r="E101" s="28"/>
      <c r="F101" s="28"/>
      <c r="G101" s="29">
        <v>0</v>
      </c>
    </row>
    <row r="102" spans="1:7" ht="17.25">
      <c r="A102" s="28" t="s">
        <v>39</v>
      </c>
      <c r="B102" s="28"/>
      <c r="C102" s="28"/>
      <c r="D102" s="28"/>
      <c r="E102" s="28"/>
      <c r="F102" s="28"/>
      <c r="G102" s="29">
        <f>7*352+7*251.46</f>
        <v>4224.22</v>
      </c>
    </row>
    <row r="103" spans="1:7" ht="17.25">
      <c r="A103" s="28" t="s">
        <v>40</v>
      </c>
      <c r="B103" s="28"/>
      <c r="C103" s="28"/>
      <c r="D103" s="28"/>
      <c r="E103" s="28"/>
      <c r="F103" s="28"/>
      <c r="G103" s="29">
        <f>1080.88</f>
        <v>1080.88</v>
      </c>
    </row>
    <row r="104" spans="1:7" ht="17.25" hidden="1">
      <c r="A104" s="28" t="s">
        <v>41</v>
      </c>
      <c r="B104" s="28"/>
      <c r="C104" s="28"/>
      <c r="D104" s="28"/>
      <c r="E104" s="28"/>
      <c r="F104" s="28"/>
      <c r="G104" s="29">
        <v>0</v>
      </c>
    </row>
    <row r="105" spans="1:7" ht="17.25" hidden="1">
      <c r="A105" s="28" t="s">
        <v>42</v>
      </c>
      <c r="B105" s="28"/>
      <c r="C105" s="28"/>
      <c r="D105" s="28"/>
      <c r="E105" s="28"/>
      <c r="F105" s="28"/>
      <c r="G105" s="29">
        <v>0</v>
      </c>
    </row>
    <row r="106" spans="1:7" ht="17.25">
      <c r="A106" s="28" t="s">
        <v>43</v>
      </c>
      <c r="B106" s="28"/>
      <c r="C106" s="28"/>
      <c r="D106" s="28"/>
      <c r="E106" s="28"/>
      <c r="F106" s="28"/>
      <c r="G106" s="29">
        <f>B79*1.75*7</f>
        <v>77807.1</v>
      </c>
    </row>
    <row r="107" spans="1:7" ht="17.25" customHeight="1">
      <c r="A107" s="30" t="s">
        <v>44</v>
      </c>
      <c r="B107" s="30"/>
      <c r="C107" s="30"/>
      <c r="D107" s="30"/>
      <c r="E107" s="30"/>
      <c r="F107" s="30"/>
      <c r="G107" s="29">
        <f>(F89*4*8.57)+(B89*2*3.14)+(C89*1*3.14)+(D89*1*3.14)</f>
        <v>1120.98</v>
      </c>
    </row>
    <row r="108" spans="1:7" ht="17.25">
      <c r="A108" s="28" t="s">
        <v>45</v>
      </c>
      <c r="B108" s="28"/>
      <c r="C108" s="28"/>
      <c r="D108" s="28"/>
      <c r="E108" s="28"/>
      <c r="F108" s="28"/>
      <c r="G108" s="29">
        <f>B79*0.65*7</f>
        <v>28899.78</v>
      </c>
    </row>
    <row r="109" spans="1:7" ht="17.25">
      <c r="A109" s="28" t="s">
        <v>46</v>
      </c>
      <c r="B109" s="28"/>
      <c r="C109" s="28"/>
      <c r="D109" s="28"/>
      <c r="E109" s="28"/>
      <c r="F109" s="28"/>
      <c r="G109" s="29">
        <f>B79*0.2*7</f>
        <v>8892.240000000002</v>
      </c>
    </row>
    <row r="110" spans="1:7" ht="17.25">
      <c r="A110" s="28" t="s">
        <v>47</v>
      </c>
      <c r="B110" s="28"/>
      <c r="C110" s="28"/>
      <c r="D110" s="28"/>
      <c r="E110" s="28"/>
      <c r="F110" s="28"/>
      <c r="G110" s="29">
        <f>B79*0.7*7</f>
        <v>31122.840000000004</v>
      </c>
    </row>
    <row r="111" spans="1:7" ht="17.25">
      <c r="A111" s="26" t="s">
        <v>48</v>
      </c>
      <c r="B111" s="26"/>
      <c r="C111" s="26"/>
      <c r="D111" s="26"/>
      <c r="E111" s="26"/>
      <c r="F111" s="26"/>
      <c r="G111" s="32">
        <f>G91+G92+G93+G94+G95+G96+G97+G98+G99+G100+G102+G106+G107+G108+G109+G110+G103+G104+G105+G101</f>
        <v>322239.839731861</v>
      </c>
    </row>
    <row r="112" spans="1:7" ht="17.25" customHeight="1">
      <c r="A112" s="33" t="s">
        <v>49</v>
      </c>
      <c r="B112" s="33"/>
      <c r="C112" s="33"/>
      <c r="D112" s="33"/>
      <c r="E112" s="33"/>
      <c r="F112" s="33"/>
      <c r="G112" s="29"/>
    </row>
    <row r="113" spans="1:7" ht="17.25" hidden="1">
      <c r="A113" s="28" t="s">
        <v>50</v>
      </c>
      <c r="B113" s="28"/>
      <c r="C113" s="28"/>
      <c r="D113" s="28"/>
      <c r="E113" s="28"/>
      <c r="F113" s="28"/>
      <c r="G113" s="29"/>
    </row>
    <row r="114" spans="1:7" ht="17.25">
      <c r="A114" s="28" t="s">
        <v>51</v>
      </c>
      <c r="B114" s="28"/>
      <c r="C114" s="28"/>
      <c r="D114" s="28"/>
      <c r="E114" s="28"/>
      <c r="F114" s="28"/>
      <c r="G114" s="29"/>
    </row>
    <row r="115" spans="1:7" ht="17.25">
      <c r="A115" s="34" t="s">
        <v>52</v>
      </c>
      <c r="B115" s="34"/>
      <c r="C115" s="34"/>
      <c r="D115" s="34"/>
      <c r="E115" s="34"/>
      <c r="F115" s="34"/>
      <c r="G115" s="29"/>
    </row>
    <row r="116" spans="1:7" ht="17.25">
      <c r="A116" s="34" t="s">
        <v>53</v>
      </c>
      <c r="B116" s="34"/>
      <c r="C116" s="34"/>
      <c r="D116" s="34"/>
      <c r="E116" s="34"/>
      <c r="F116" s="34"/>
      <c r="G116" s="29">
        <v>1420</v>
      </c>
    </row>
    <row r="117" spans="1:7" ht="17.25">
      <c r="A117" s="34" t="s">
        <v>54</v>
      </c>
      <c r="B117" s="34"/>
      <c r="C117" s="34"/>
      <c r="D117" s="34"/>
      <c r="E117" s="34"/>
      <c r="F117" s="34"/>
      <c r="G117" s="29"/>
    </row>
    <row r="118" spans="1:7" ht="17.25">
      <c r="A118" s="34" t="s">
        <v>55</v>
      </c>
      <c r="B118" s="34"/>
      <c r="C118" s="34"/>
      <c r="D118" s="34"/>
      <c r="E118" s="34"/>
      <c r="F118" s="34"/>
      <c r="G118" s="29">
        <f>20600+29610</f>
        <v>50210</v>
      </c>
    </row>
    <row r="119" spans="1:7" ht="17.25">
      <c r="A119" s="34" t="s">
        <v>56</v>
      </c>
      <c r="B119" s="34"/>
      <c r="C119" s="34"/>
      <c r="D119" s="34"/>
      <c r="E119" s="34"/>
      <c r="F119" s="34"/>
      <c r="G119" s="29">
        <f>65510+130640</f>
        <v>196150</v>
      </c>
    </row>
    <row r="120" spans="1:7" ht="17.25" hidden="1">
      <c r="A120" s="34" t="s">
        <v>57</v>
      </c>
      <c r="B120" s="34"/>
      <c r="C120" s="34"/>
      <c r="D120" s="34"/>
      <c r="E120" s="34"/>
      <c r="F120" s="34"/>
      <c r="G120" s="29"/>
    </row>
    <row r="121" spans="1:7" ht="17.25">
      <c r="A121" s="34" t="s">
        <v>58</v>
      </c>
      <c r="B121" s="34"/>
      <c r="C121" s="34"/>
      <c r="D121" s="34"/>
      <c r="E121" s="34"/>
      <c r="F121" s="34"/>
      <c r="G121" s="29">
        <f>1500+42+42+42</f>
        <v>1626</v>
      </c>
    </row>
    <row r="122" spans="1:7" ht="17.25" hidden="1">
      <c r="A122" s="34" t="s">
        <v>59</v>
      </c>
      <c r="B122" s="34"/>
      <c r="C122" s="34"/>
      <c r="D122" s="34"/>
      <c r="E122" s="34"/>
      <c r="F122" s="34"/>
      <c r="G122" s="29"/>
    </row>
    <row r="123" spans="1:7" ht="17.25" hidden="1">
      <c r="A123" s="34" t="s">
        <v>60</v>
      </c>
      <c r="B123" s="34"/>
      <c r="C123" s="34"/>
      <c r="D123" s="34"/>
      <c r="E123" s="34"/>
      <c r="F123" s="34"/>
      <c r="G123" s="29"/>
    </row>
    <row r="124" spans="1:7" ht="17.25" hidden="1">
      <c r="A124" s="34" t="s">
        <v>61</v>
      </c>
      <c r="B124" s="34"/>
      <c r="C124" s="34"/>
      <c r="D124" s="34"/>
      <c r="E124" s="34"/>
      <c r="F124" s="34"/>
      <c r="G124" s="29"/>
    </row>
    <row r="125" spans="1:7" ht="17.25">
      <c r="A125" s="34" t="s">
        <v>62</v>
      </c>
      <c r="B125" s="34"/>
      <c r="C125" s="34"/>
      <c r="D125" s="34"/>
      <c r="E125" s="34"/>
      <c r="F125" s="34"/>
      <c r="G125" s="29">
        <v>155040</v>
      </c>
    </row>
    <row r="126" spans="1:7" ht="17.25">
      <c r="A126" s="34" t="s">
        <v>63</v>
      </c>
      <c r="B126" s="34"/>
      <c r="C126" s="34"/>
      <c r="D126" s="34"/>
      <c r="E126" s="34"/>
      <c r="F126" s="34"/>
      <c r="G126" s="29">
        <f>10060+1440+760+780+1200</f>
        <v>14240</v>
      </c>
    </row>
    <row r="127" spans="1:7" ht="17.25">
      <c r="A127" s="34" t="s">
        <v>64</v>
      </c>
      <c r="B127" s="34"/>
      <c r="C127" s="34"/>
      <c r="D127" s="34"/>
      <c r="E127" s="34"/>
      <c r="F127" s="34"/>
      <c r="G127" s="29"/>
    </row>
    <row r="128" spans="1:7" ht="17.25">
      <c r="A128" s="34" t="s">
        <v>65</v>
      </c>
      <c r="B128" s="34"/>
      <c r="C128" s="34"/>
      <c r="D128" s="34"/>
      <c r="E128" s="34"/>
      <c r="F128" s="34"/>
      <c r="G128" s="29"/>
    </row>
    <row r="129" spans="1:7" ht="18.75" customHeight="1">
      <c r="A129" s="33" t="s">
        <v>66</v>
      </c>
      <c r="B129" s="33"/>
      <c r="C129" s="33"/>
      <c r="D129" s="33"/>
      <c r="E129" s="33"/>
      <c r="F129" s="33"/>
      <c r="G129" s="32">
        <f>G115+G116+G117+G118+G119+G120+G121+G122+G123+G124+G125+G126+G127+G128</f>
        <v>418686</v>
      </c>
    </row>
    <row r="130" spans="1:7" ht="34.5" customHeight="1">
      <c r="A130" s="49" t="s">
        <v>67</v>
      </c>
      <c r="B130" s="49"/>
      <c r="C130" s="49"/>
      <c r="D130" s="49"/>
      <c r="E130" s="49"/>
      <c r="F130" s="49"/>
      <c r="G130" s="50">
        <f>G111+G129</f>
        <v>740925.839731861</v>
      </c>
    </row>
    <row r="131" spans="1:7" ht="17.25" hidden="1">
      <c r="A131" s="28" t="s">
        <v>68</v>
      </c>
      <c r="B131" s="28"/>
      <c r="C131" s="28"/>
      <c r="D131" s="28"/>
      <c r="E131" s="28"/>
      <c r="F131" s="28"/>
      <c r="G131" s="29">
        <v>-10378.78</v>
      </c>
    </row>
    <row r="132" spans="1:7" ht="17.25" hidden="1">
      <c r="A132" s="41" t="s">
        <v>69</v>
      </c>
      <c r="B132" s="41"/>
      <c r="C132" s="41"/>
      <c r="D132" s="41"/>
      <c r="E132" s="41"/>
      <c r="F132" s="41"/>
      <c r="G132" s="29">
        <f>2*281.58*4+141.6*4+180*4</f>
        <v>3539.04</v>
      </c>
    </row>
    <row r="133" spans="1:7" ht="17.25" hidden="1">
      <c r="A133" s="42" t="s">
        <v>70</v>
      </c>
      <c r="B133" s="42"/>
      <c r="C133" s="42"/>
      <c r="D133" s="42"/>
      <c r="E133" s="42"/>
      <c r="F133" s="42"/>
      <c r="G133" s="32">
        <f>B79*B81*4+G132</f>
        <v>290631.36</v>
      </c>
    </row>
    <row r="134" spans="1:7" ht="17.25" hidden="1">
      <c r="A134" s="43" t="s">
        <v>71</v>
      </c>
      <c r="B134" s="43"/>
      <c r="C134" s="43"/>
      <c r="D134" s="43"/>
      <c r="E134" s="43"/>
      <c r="F134" s="43"/>
      <c r="G134" s="44">
        <v>38644.29</v>
      </c>
    </row>
    <row r="135" spans="1:7" ht="46.5" customHeight="1" hidden="1">
      <c r="A135" s="49" t="s">
        <v>115</v>
      </c>
      <c r="B135" s="49"/>
      <c r="C135" s="49"/>
      <c r="D135" s="49"/>
      <c r="E135" s="49"/>
      <c r="F135" s="49"/>
      <c r="G135" s="50">
        <f>G130-G133-G131+G134</f>
        <v>499317.54973186104</v>
      </c>
    </row>
    <row r="136" ht="12.75"/>
    <row r="137" ht="12.75"/>
    <row r="138" spans="1:6" ht="17.25">
      <c r="A138" s="1" t="s">
        <v>117</v>
      </c>
      <c r="F138" s="1" t="s">
        <v>118</v>
      </c>
    </row>
  </sheetData>
  <sheetProtection selectLockedCells="1" selectUnlockedCells="1"/>
  <mergeCells count="96">
    <mergeCell ref="A1:G1"/>
    <mergeCell ref="B2:E2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77:G77"/>
    <mergeCell ref="B78:E78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01:F101"/>
    <mergeCell ref="A102:F102"/>
    <mergeCell ref="A103:F103"/>
    <mergeCell ref="A104:F104"/>
    <mergeCell ref="A105:F105"/>
    <mergeCell ref="A106:F106"/>
    <mergeCell ref="A107:F107"/>
    <mergeCell ref="A108:F108"/>
    <mergeCell ref="A109:F109"/>
    <mergeCell ref="A110:F110"/>
    <mergeCell ref="A111:F111"/>
    <mergeCell ref="A112:F112"/>
    <mergeCell ref="A113:F113"/>
    <mergeCell ref="A114:F114"/>
    <mergeCell ref="A115:F115"/>
    <mergeCell ref="A116:F116"/>
    <mergeCell ref="A117:F117"/>
    <mergeCell ref="A118:F118"/>
    <mergeCell ref="A119:F119"/>
    <mergeCell ref="A120:F120"/>
    <mergeCell ref="A121:F121"/>
    <mergeCell ref="A122:F122"/>
    <mergeCell ref="A123:F123"/>
    <mergeCell ref="A124:F124"/>
    <mergeCell ref="A125:F125"/>
    <mergeCell ref="A126:F126"/>
    <mergeCell ref="A127:F127"/>
    <mergeCell ref="A128:F128"/>
    <mergeCell ref="A129:F129"/>
    <mergeCell ref="A130:F130"/>
    <mergeCell ref="A131:F131"/>
    <mergeCell ref="A132:F132"/>
    <mergeCell ref="A133:F133"/>
    <mergeCell ref="A134:F134"/>
    <mergeCell ref="A135:F135"/>
  </mergeCells>
  <printOptions/>
  <pageMargins left="0.45208333333333334" right="0" top="0.35347222222222224" bottom="0" header="0.5118055555555555" footer="0.5118055555555555"/>
  <pageSetup horizontalDpi="300" verticalDpi="300" orientation="portrait" paperSize="9" scale="95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3"/>
  </sheetPr>
  <dimension ref="A1:G59"/>
  <sheetViews>
    <sheetView zoomScale="75" zoomScaleNormal="75" workbookViewId="0" topLeftCell="A20">
      <pane ySplit="65535" topLeftCell="A20" activePane="topLeft" state="split"/>
      <selection pane="topLeft" activeCell="G58" activeCellId="1" sqref="A77:G138 G58"/>
      <selection pane="bottomLeft" activeCell="A20" sqref="A20"/>
    </sheetView>
  </sheetViews>
  <sheetFormatPr defaultColWidth="9.140625" defaultRowHeight="12.75"/>
  <cols>
    <col min="1" max="1" width="23.8515625" style="1" customWidth="1"/>
    <col min="2" max="2" width="11.57421875" style="1" customWidth="1"/>
    <col min="3" max="5" width="9.140625" style="1" customWidth="1"/>
    <col min="6" max="6" width="21.421875" style="1" customWidth="1"/>
    <col min="7" max="7" width="15.421875" style="1" customWidth="1"/>
    <col min="8" max="16384" width="9.140625" style="1" customWidth="1"/>
  </cols>
  <sheetData>
    <row r="1" spans="1:7" ht="39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119</v>
      </c>
      <c r="C2" s="7"/>
      <c r="D2" s="7"/>
      <c r="E2" s="7"/>
      <c r="F2" s="8" t="s">
        <v>3</v>
      </c>
      <c r="G2" s="9">
        <v>9</v>
      </c>
    </row>
    <row r="3" spans="1:7" ht="18.75">
      <c r="A3" s="6" t="s">
        <v>4</v>
      </c>
      <c r="B3" s="10">
        <v>4650.5</v>
      </c>
      <c r="F3" s="8" t="s">
        <v>5</v>
      </c>
      <c r="G3" s="11">
        <v>2</v>
      </c>
    </row>
    <row r="4" spans="1:7" ht="18.75">
      <c r="A4" s="12" t="s">
        <v>6</v>
      </c>
      <c r="B4" s="13"/>
      <c r="F4" s="8" t="s">
        <v>8</v>
      </c>
      <c r="G4" s="9">
        <v>1977</v>
      </c>
    </row>
    <row r="5" spans="1:3" ht="16.5" customHeight="1">
      <c r="A5" s="12" t="s">
        <v>6</v>
      </c>
      <c r="B5" s="13">
        <v>15.08</v>
      </c>
      <c r="C5" s="1" t="s">
        <v>9</v>
      </c>
    </row>
    <row r="6" spans="1:7" ht="18.75" hidden="1">
      <c r="A6" s="14" t="s">
        <v>10</v>
      </c>
      <c r="B6" s="15">
        <v>546.7</v>
      </c>
      <c r="C6" s="16"/>
      <c r="D6" s="16"/>
      <c r="E6" s="16"/>
      <c r="F6" s="16"/>
      <c r="G6" s="16"/>
    </row>
    <row r="7" spans="1:7" ht="18.75" hidden="1">
      <c r="A7" s="14" t="s">
        <v>12</v>
      </c>
      <c r="B7" s="17">
        <v>2.2</v>
      </c>
      <c r="C7" s="16" t="s">
        <v>78</v>
      </c>
      <c r="D7" s="16">
        <v>2</v>
      </c>
      <c r="E7" s="16"/>
      <c r="F7" s="16"/>
      <c r="G7" s="16"/>
    </row>
    <row r="8" spans="1:7" ht="38.25" customHeight="1" hidden="1">
      <c r="A8" s="18" t="s">
        <v>13</v>
      </c>
      <c r="B8" s="19" t="s">
        <v>14</v>
      </c>
      <c r="C8" s="19" t="s">
        <v>15</v>
      </c>
      <c r="D8" s="19" t="s">
        <v>16</v>
      </c>
      <c r="E8" s="19" t="s">
        <v>17</v>
      </c>
      <c r="F8" s="16"/>
      <c r="G8" s="16"/>
    </row>
    <row r="9" spans="1:7" ht="20.25" customHeight="1" hidden="1">
      <c r="A9" s="14"/>
      <c r="B9" s="17">
        <v>1388</v>
      </c>
      <c r="C9" s="17">
        <v>2936</v>
      </c>
      <c r="D9" s="17">
        <v>1264</v>
      </c>
      <c r="E9" s="17">
        <v>3060</v>
      </c>
      <c r="F9" s="16"/>
      <c r="G9" s="16"/>
    </row>
    <row r="10" spans="1:7" ht="18.75" hidden="1">
      <c r="A10" s="14" t="s">
        <v>18</v>
      </c>
      <c r="B10" s="20">
        <v>4650.5</v>
      </c>
      <c r="C10" s="16"/>
      <c r="D10" s="16"/>
      <c r="E10" s="16"/>
      <c r="F10" s="16"/>
      <c r="G10" s="16"/>
    </row>
    <row r="11" spans="1:7" ht="19.5" hidden="1">
      <c r="A11" s="14" t="s">
        <v>19</v>
      </c>
      <c r="B11" s="20">
        <v>711</v>
      </c>
      <c r="C11" s="20">
        <v>457.3</v>
      </c>
      <c r="D11" s="20">
        <f>B11+C11</f>
        <v>1168.3</v>
      </c>
      <c r="E11" s="16"/>
      <c r="F11" s="16"/>
      <c r="G11" s="16"/>
    </row>
    <row r="12" spans="1:7" ht="50.25" customHeight="1" hidden="1">
      <c r="A12" s="14" t="s">
        <v>20</v>
      </c>
      <c r="B12" s="19" t="s">
        <v>21</v>
      </c>
      <c r="C12" s="21" t="s">
        <v>22</v>
      </c>
      <c r="D12" s="19" t="s">
        <v>23</v>
      </c>
      <c r="E12" s="22" t="s">
        <v>24</v>
      </c>
      <c r="F12" s="17" t="s">
        <v>25</v>
      </c>
      <c r="G12" s="16"/>
    </row>
    <row r="13" spans="1:7" ht="23.25" customHeight="1" hidden="1">
      <c r="A13" s="23"/>
      <c r="B13" s="24">
        <v>72</v>
      </c>
      <c r="C13" s="24">
        <v>72</v>
      </c>
      <c r="D13" s="24"/>
      <c r="E13" s="25">
        <f>D13+C13+B13</f>
        <v>144</v>
      </c>
      <c r="F13" s="17"/>
      <c r="G13" s="16"/>
    </row>
    <row r="14" spans="1:7" ht="18.75" customHeight="1">
      <c r="A14" s="26" t="s">
        <v>26</v>
      </c>
      <c r="B14" s="26"/>
      <c r="C14" s="26"/>
      <c r="D14" s="26"/>
      <c r="E14" s="26"/>
      <c r="F14" s="26"/>
      <c r="G14" s="27" t="s">
        <v>27</v>
      </c>
    </row>
    <row r="15" spans="1:7" ht="15.75">
      <c r="A15" s="28" t="s">
        <v>28</v>
      </c>
      <c r="B15" s="28"/>
      <c r="C15" s="28"/>
      <c r="D15" s="28"/>
      <c r="E15" s="28"/>
      <c r="F15" s="28"/>
      <c r="G15" s="29">
        <f>B6*8.689*4</f>
        <v>19001.1052</v>
      </c>
    </row>
    <row r="16" spans="1:7" ht="15.75">
      <c r="A16" s="28" t="s">
        <v>29</v>
      </c>
      <c r="B16" s="28"/>
      <c r="C16" s="28"/>
      <c r="D16" s="28"/>
      <c r="E16" s="28"/>
      <c r="F16" s="28"/>
      <c r="G16" s="29">
        <f>B7*19.029*4</f>
        <v>167.45520000000002</v>
      </c>
    </row>
    <row r="17" spans="1:7" ht="15.75">
      <c r="A17" s="28" t="s">
        <v>30</v>
      </c>
      <c r="B17" s="28"/>
      <c r="C17" s="28"/>
      <c r="D17" s="28"/>
      <c r="E17" s="28"/>
      <c r="F17" s="28"/>
      <c r="G17" s="29">
        <f>B10*0.4522*4</f>
        <v>8411.8244</v>
      </c>
    </row>
    <row r="18" spans="1:7" ht="15.75">
      <c r="A18" s="28" t="s">
        <v>31</v>
      </c>
      <c r="B18" s="28"/>
      <c r="C18" s="28"/>
      <c r="D18" s="28"/>
      <c r="E18" s="28"/>
      <c r="F18" s="28"/>
      <c r="G18" s="29">
        <f>(B9*12.84/100*64)+(C9*9.63/100*38)+(D9*32.11/100*26)+(E9*2.41/100*5)</f>
        <v>33071.3876</v>
      </c>
    </row>
    <row r="19" spans="1:7" ht="15.75" customHeight="1">
      <c r="A19" s="30" t="s">
        <v>32</v>
      </c>
      <c r="B19" s="30"/>
      <c r="C19" s="30"/>
      <c r="D19" s="30"/>
      <c r="E19" s="30"/>
      <c r="F19" s="30"/>
      <c r="G19" s="31">
        <f>574906.73/199064.79*B3</f>
        <v>13430.821934230557</v>
      </c>
    </row>
    <row r="20" spans="1:7" ht="15.75">
      <c r="A20" s="28" t="s">
        <v>33</v>
      </c>
      <c r="B20" s="28"/>
      <c r="C20" s="28"/>
      <c r="D20" s="28"/>
      <c r="E20" s="28"/>
      <c r="F20" s="28"/>
      <c r="G20" s="29">
        <f>D11*0.14*2</f>
        <v>327.124</v>
      </c>
    </row>
    <row r="21" spans="1:7" ht="15.75" hidden="1">
      <c r="A21" s="28" t="s">
        <v>34</v>
      </c>
      <c r="B21" s="28"/>
      <c r="C21" s="28"/>
      <c r="D21" s="28"/>
      <c r="E21" s="28"/>
      <c r="F21" s="28"/>
      <c r="G21" s="29">
        <v>0</v>
      </c>
    </row>
    <row r="22" spans="1:7" ht="15.75">
      <c r="A22" s="28" t="s">
        <v>35</v>
      </c>
      <c r="B22" s="28"/>
      <c r="C22" s="28"/>
      <c r="D22" s="28"/>
      <c r="E22" s="28"/>
      <c r="F22" s="28"/>
      <c r="G22" s="29">
        <f>B3*0.845*4</f>
        <v>15718.689999999999</v>
      </c>
    </row>
    <row r="23" spans="1:7" ht="15.75">
      <c r="A23" s="28" t="s">
        <v>36</v>
      </c>
      <c r="B23" s="28"/>
      <c r="C23" s="28"/>
      <c r="D23" s="28"/>
      <c r="E23" s="28"/>
      <c r="F23" s="28"/>
      <c r="G23" s="29">
        <f>B3*2.648*4</f>
        <v>49258.096000000005</v>
      </c>
    </row>
    <row r="24" spans="1:7" ht="15.75" hidden="1">
      <c r="A24" s="28" t="s">
        <v>37</v>
      </c>
      <c r="B24" s="28"/>
      <c r="C24" s="28"/>
      <c r="D24" s="28"/>
      <c r="E24" s="28"/>
      <c r="F24" s="28"/>
      <c r="G24" s="29">
        <v>0</v>
      </c>
    </row>
    <row r="25" spans="1:7" ht="15.75">
      <c r="A25" s="28" t="s">
        <v>38</v>
      </c>
      <c r="B25" s="28"/>
      <c r="C25" s="28"/>
      <c r="D25" s="28"/>
      <c r="E25" s="28"/>
      <c r="F25" s="28"/>
      <c r="G25" s="29">
        <f>403*4</f>
        <v>1612</v>
      </c>
    </row>
    <row r="26" spans="1:7" ht="15.75">
      <c r="A26" s="28" t="s">
        <v>39</v>
      </c>
      <c r="B26" s="28"/>
      <c r="C26" s="28"/>
      <c r="D26" s="28"/>
      <c r="E26" s="28"/>
      <c r="F26" s="28"/>
      <c r="G26" s="29">
        <f>8*352+3*251.46+4244.98</f>
        <v>7815.36</v>
      </c>
    </row>
    <row r="27" spans="1:7" ht="15.75">
      <c r="A27" s="28" t="s">
        <v>40</v>
      </c>
      <c r="B27" s="28"/>
      <c r="C27" s="28"/>
      <c r="D27" s="28"/>
      <c r="E27" s="28"/>
      <c r="F27" s="28"/>
      <c r="G27" s="29">
        <f>1080.88+1080.88</f>
        <v>2161.76</v>
      </c>
    </row>
    <row r="28" spans="1:7" ht="15.75" hidden="1">
      <c r="A28" s="28" t="s">
        <v>41</v>
      </c>
      <c r="B28" s="28"/>
      <c r="C28" s="28"/>
      <c r="D28" s="28"/>
      <c r="E28" s="28"/>
      <c r="F28" s="28"/>
      <c r="G28" s="29">
        <v>0</v>
      </c>
    </row>
    <row r="29" spans="1:7" ht="15.75" hidden="1">
      <c r="A29" s="28" t="s">
        <v>42</v>
      </c>
      <c r="B29" s="28"/>
      <c r="C29" s="28"/>
      <c r="D29" s="28"/>
      <c r="E29" s="28"/>
      <c r="F29" s="28"/>
      <c r="G29" s="29">
        <v>0</v>
      </c>
    </row>
    <row r="30" spans="1:7" ht="15.75">
      <c r="A30" s="28" t="s">
        <v>43</v>
      </c>
      <c r="B30" s="28"/>
      <c r="C30" s="28"/>
      <c r="D30" s="28"/>
      <c r="E30" s="28"/>
      <c r="F30" s="28"/>
      <c r="G30" s="29">
        <f>B3*1.75*4</f>
        <v>32553.5</v>
      </c>
    </row>
    <row r="31" spans="1:7" ht="15.75" customHeight="1">
      <c r="A31" s="30" t="s">
        <v>44</v>
      </c>
      <c r="B31" s="30"/>
      <c r="C31" s="30"/>
      <c r="D31" s="30"/>
      <c r="E31" s="30"/>
      <c r="F31" s="30"/>
      <c r="G31" s="29">
        <f>(F13*4*8.57)+(B13*2*3.14)+(C13*1*3.14)+(D13*1*3.14)</f>
        <v>678.24</v>
      </c>
    </row>
    <row r="32" spans="1:7" ht="15.75">
      <c r="A32" s="28" t="s">
        <v>45</v>
      </c>
      <c r="B32" s="28"/>
      <c r="C32" s="28"/>
      <c r="D32" s="28"/>
      <c r="E32" s="28"/>
      <c r="F32" s="28"/>
      <c r="G32" s="29">
        <f>B3*0.65*4</f>
        <v>12091.300000000001</v>
      </c>
    </row>
    <row r="33" spans="1:7" ht="15.75">
      <c r="A33" s="28" t="s">
        <v>46</v>
      </c>
      <c r="B33" s="28"/>
      <c r="C33" s="28"/>
      <c r="D33" s="28"/>
      <c r="E33" s="28"/>
      <c r="F33" s="28"/>
      <c r="G33" s="29">
        <f>B3*0.2*4</f>
        <v>3720.4</v>
      </c>
    </row>
    <row r="34" spans="1:7" ht="15.75">
      <c r="A34" s="28" t="s">
        <v>47</v>
      </c>
      <c r="B34" s="28"/>
      <c r="C34" s="28"/>
      <c r="D34" s="28"/>
      <c r="E34" s="28"/>
      <c r="F34" s="28"/>
      <c r="G34" s="29">
        <f>B3*0.7*4</f>
        <v>13021.4</v>
      </c>
    </row>
    <row r="35" spans="1:7" ht="15.75">
      <c r="A35" s="26" t="s">
        <v>48</v>
      </c>
      <c r="B35" s="26"/>
      <c r="C35" s="26"/>
      <c r="D35" s="26"/>
      <c r="E35" s="26"/>
      <c r="F35" s="26"/>
      <c r="G35" s="32">
        <f>G15+G16+G17+G18+G19+G20+G21+G22+G23+G24+G26+G30+G31+G32+G33+G34+G27+G28+G29+G25</f>
        <v>213040.46433423052</v>
      </c>
    </row>
    <row r="36" spans="1:7" ht="20.25" customHeight="1">
      <c r="A36" s="33" t="s">
        <v>49</v>
      </c>
      <c r="B36" s="33"/>
      <c r="C36" s="33"/>
      <c r="D36" s="33"/>
      <c r="E36" s="33"/>
      <c r="F36" s="33"/>
      <c r="G36" s="29"/>
    </row>
    <row r="37" spans="1:7" ht="15.75" hidden="1">
      <c r="A37" s="28" t="s">
        <v>50</v>
      </c>
      <c r="B37" s="28"/>
      <c r="C37" s="28"/>
      <c r="D37" s="28"/>
      <c r="E37" s="28"/>
      <c r="F37" s="28"/>
      <c r="G37" s="29"/>
    </row>
    <row r="38" spans="1:7" ht="15.75">
      <c r="A38" s="28" t="s">
        <v>51</v>
      </c>
      <c r="B38" s="28"/>
      <c r="C38" s="28"/>
      <c r="D38" s="28"/>
      <c r="E38" s="28"/>
      <c r="F38" s="28"/>
      <c r="G38" s="29"/>
    </row>
    <row r="39" spans="1:7" ht="15.75" hidden="1">
      <c r="A39" s="34" t="s">
        <v>52</v>
      </c>
      <c r="B39" s="34"/>
      <c r="C39" s="34"/>
      <c r="D39" s="34"/>
      <c r="E39" s="34"/>
      <c r="F39" s="34"/>
      <c r="G39" s="29"/>
    </row>
    <row r="40" spans="1:7" ht="15.75" hidden="1">
      <c r="A40" s="34" t="s">
        <v>53</v>
      </c>
      <c r="B40" s="34"/>
      <c r="C40" s="34"/>
      <c r="D40" s="34"/>
      <c r="E40" s="34"/>
      <c r="F40" s="34"/>
      <c r="G40" s="29"/>
    </row>
    <row r="41" spans="1:7" ht="15.75" hidden="1">
      <c r="A41" s="34" t="s">
        <v>54</v>
      </c>
      <c r="B41" s="34"/>
      <c r="C41" s="34"/>
      <c r="D41" s="34"/>
      <c r="E41" s="34"/>
      <c r="F41" s="34"/>
      <c r="G41" s="29"/>
    </row>
    <row r="42" spans="1:7" ht="15.75" hidden="1">
      <c r="A42" s="34" t="s">
        <v>55</v>
      </c>
      <c r="B42" s="34"/>
      <c r="C42" s="34"/>
      <c r="D42" s="34"/>
      <c r="E42" s="34"/>
      <c r="F42" s="34"/>
      <c r="G42" s="29"/>
    </row>
    <row r="43" spans="1:7" ht="15.75" hidden="1">
      <c r="A43" s="34" t="s">
        <v>56</v>
      </c>
      <c r="B43" s="34"/>
      <c r="C43" s="34"/>
      <c r="D43" s="34"/>
      <c r="E43" s="34"/>
      <c r="F43" s="34"/>
      <c r="G43" s="29"/>
    </row>
    <row r="44" spans="1:7" ht="15.75" hidden="1">
      <c r="A44" s="34" t="s">
        <v>57</v>
      </c>
      <c r="B44" s="34"/>
      <c r="C44" s="34"/>
      <c r="D44" s="34"/>
      <c r="E44" s="34"/>
      <c r="F44" s="34"/>
      <c r="G44" s="29"/>
    </row>
    <row r="45" spans="1:7" ht="15.75">
      <c r="A45" s="34" t="s">
        <v>58</v>
      </c>
      <c r="B45" s="34"/>
      <c r="C45" s="34"/>
      <c r="D45" s="34"/>
      <c r="E45" s="34"/>
      <c r="F45" s="34"/>
      <c r="G45" s="29">
        <v>673</v>
      </c>
    </row>
    <row r="46" spans="1:7" ht="15.75">
      <c r="A46" s="34" t="s">
        <v>59</v>
      </c>
      <c r="B46" s="34"/>
      <c r="C46" s="34"/>
      <c r="D46" s="34"/>
      <c r="E46" s="34"/>
      <c r="F46" s="34"/>
      <c r="G46" s="29">
        <v>1680</v>
      </c>
    </row>
    <row r="47" spans="1:7" ht="15.75" hidden="1">
      <c r="A47" s="34" t="s">
        <v>60</v>
      </c>
      <c r="B47" s="34"/>
      <c r="C47" s="34"/>
      <c r="D47" s="34"/>
      <c r="E47" s="34"/>
      <c r="F47" s="34"/>
      <c r="G47" s="29"/>
    </row>
    <row r="48" spans="1:7" ht="15.75">
      <c r="A48" s="34" t="s">
        <v>61</v>
      </c>
      <c r="B48" s="34"/>
      <c r="C48" s="34"/>
      <c r="D48" s="34"/>
      <c r="E48" s="34"/>
      <c r="F48" s="34"/>
      <c r="G48" s="29">
        <v>15620</v>
      </c>
    </row>
    <row r="49" spans="1:7" ht="15.75">
      <c r="A49" s="34" t="s">
        <v>62</v>
      </c>
      <c r="B49" s="34"/>
      <c r="C49" s="34"/>
      <c r="D49" s="34"/>
      <c r="E49" s="34"/>
      <c r="F49" s="34"/>
      <c r="G49" s="29">
        <v>16600</v>
      </c>
    </row>
    <row r="50" spans="1:7" ht="15.75">
      <c r="A50" s="34" t="s">
        <v>63</v>
      </c>
      <c r="B50" s="34"/>
      <c r="C50" s="34"/>
      <c r="D50" s="34"/>
      <c r="E50" s="34"/>
      <c r="F50" s="34"/>
      <c r="G50" s="29">
        <v>9450</v>
      </c>
    </row>
    <row r="51" spans="1:7" ht="15.75" hidden="1">
      <c r="A51" s="34" t="s">
        <v>64</v>
      </c>
      <c r="B51" s="34"/>
      <c r="C51" s="34"/>
      <c r="D51" s="34"/>
      <c r="E51" s="34"/>
      <c r="F51" s="34"/>
      <c r="G51" s="29"/>
    </row>
    <row r="52" spans="1:7" ht="15.75" hidden="1">
      <c r="A52" s="34" t="s">
        <v>65</v>
      </c>
      <c r="B52" s="34"/>
      <c r="C52" s="34"/>
      <c r="D52" s="34"/>
      <c r="E52" s="34"/>
      <c r="F52" s="34"/>
      <c r="G52" s="29"/>
    </row>
    <row r="53" spans="1:7" ht="15.75" customHeight="1">
      <c r="A53" s="33" t="s">
        <v>66</v>
      </c>
      <c r="B53" s="33"/>
      <c r="C53" s="33"/>
      <c r="D53" s="33"/>
      <c r="E53" s="33"/>
      <c r="F53" s="33"/>
      <c r="G53" s="32">
        <f>G39+G40+G41+G42+G43+G44+G45+G46+G47+G48+G49+G50+G51+G52</f>
        <v>44023</v>
      </c>
    </row>
    <row r="54" spans="1:7" ht="15.75" customHeight="1">
      <c r="A54" s="33" t="s">
        <v>67</v>
      </c>
      <c r="B54" s="33"/>
      <c r="C54" s="33"/>
      <c r="D54" s="33"/>
      <c r="E54" s="33"/>
      <c r="F54" s="33"/>
      <c r="G54" s="32">
        <f>G35+G53</f>
        <v>257063.46433423052</v>
      </c>
    </row>
    <row r="55" spans="1:7" ht="15.75">
      <c r="A55" s="28" t="s">
        <v>68</v>
      </c>
      <c r="B55" s="28"/>
      <c r="C55" s="28"/>
      <c r="D55" s="28"/>
      <c r="E55" s="28"/>
      <c r="F55" s="28"/>
      <c r="G55" s="29">
        <v>-5622.44</v>
      </c>
    </row>
    <row r="56" spans="1:7" ht="15.75">
      <c r="A56" s="41" t="s">
        <v>69</v>
      </c>
      <c r="B56" s="41"/>
      <c r="C56" s="41"/>
      <c r="D56" s="41"/>
      <c r="E56" s="41"/>
      <c r="F56" s="41"/>
      <c r="G56" s="29">
        <f>2*281.58*4+141.6*4+180*4</f>
        <v>3539.04</v>
      </c>
    </row>
    <row r="57" spans="1:7" ht="15.75" customHeight="1">
      <c r="A57" s="42" t="s">
        <v>70</v>
      </c>
      <c r="B57" s="42"/>
      <c r="C57" s="42"/>
      <c r="D57" s="42"/>
      <c r="E57" s="42"/>
      <c r="F57" s="42"/>
      <c r="G57" s="32">
        <f>B3*B5*4+G56</f>
        <v>284057.19999999995</v>
      </c>
    </row>
    <row r="58" spans="1:7" ht="15.75" customHeight="1">
      <c r="A58" s="43" t="s">
        <v>71</v>
      </c>
      <c r="B58" s="43"/>
      <c r="C58" s="43"/>
      <c r="D58" s="43"/>
      <c r="E58" s="43"/>
      <c r="F58" s="43"/>
      <c r="G58" s="44">
        <v>16117.03</v>
      </c>
    </row>
    <row r="59" spans="1:7" ht="63" customHeight="1">
      <c r="A59" s="33" t="s">
        <v>82</v>
      </c>
      <c r="B59" s="33"/>
      <c r="C59" s="33"/>
      <c r="D59" s="33"/>
      <c r="E59" s="33"/>
      <c r="F59" s="33"/>
      <c r="G59" s="32">
        <f>G54-G57-G55+G58</f>
        <v>-5254.265665769433</v>
      </c>
    </row>
  </sheetData>
  <sheetProtection selectLockedCells="1" selectUnlockedCells="1"/>
  <mergeCells count="48">
    <mergeCell ref="A1:G1"/>
    <mergeCell ref="B2:E2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G59"/>
  <sheetViews>
    <sheetView zoomScale="75" zoomScaleNormal="75" workbookViewId="0" topLeftCell="A26">
      <pane ySplit="65535" topLeftCell="A26" activePane="topLeft" state="split"/>
      <selection pane="topLeft" activeCell="G57" activeCellId="1" sqref="A77:G138 G57"/>
      <selection pane="bottomLeft" activeCell="A26" sqref="A26"/>
    </sheetView>
  </sheetViews>
  <sheetFormatPr defaultColWidth="9.140625" defaultRowHeight="12.75"/>
  <cols>
    <col min="1" max="1" width="23.8515625" style="1" customWidth="1"/>
    <col min="2" max="2" width="11.57421875" style="1" customWidth="1"/>
    <col min="3" max="5" width="9.140625" style="1" customWidth="1"/>
    <col min="6" max="6" width="21.421875" style="1" customWidth="1"/>
    <col min="7" max="7" width="15.8515625" style="1" customWidth="1"/>
    <col min="8" max="16384" width="9.140625" style="1" customWidth="1"/>
  </cols>
  <sheetData>
    <row r="1" spans="1:7" ht="39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81</v>
      </c>
      <c r="C2" s="7"/>
      <c r="D2" s="7"/>
      <c r="E2" s="7"/>
      <c r="F2" s="8" t="s">
        <v>3</v>
      </c>
      <c r="G2" s="9">
        <v>9</v>
      </c>
    </row>
    <row r="3" spans="1:7" ht="18.75">
      <c r="A3" s="6" t="s">
        <v>4</v>
      </c>
      <c r="B3" s="10">
        <v>4883.37</v>
      </c>
      <c r="F3" s="8" t="s">
        <v>5</v>
      </c>
      <c r="G3" s="11">
        <v>1</v>
      </c>
    </row>
    <row r="4" spans="1:7" ht="18.75">
      <c r="A4" s="12" t="s">
        <v>6</v>
      </c>
      <c r="B4" s="13"/>
      <c r="F4" s="8" t="s">
        <v>8</v>
      </c>
      <c r="G4" s="9">
        <v>1988</v>
      </c>
    </row>
    <row r="5" spans="1:3" ht="16.5" customHeight="1">
      <c r="A5" s="12" t="s">
        <v>6</v>
      </c>
      <c r="B5" s="13">
        <v>14.44</v>
      </c>
      <c r="C5" s="1" t="s">
        <v>9</v>
      </c>
    </row>
    <row r="6" spans="1:7" ht="18.75" hidden="1">
      <c r="A6" s="14" t="s">
        <v>10</v>
      </c>
      <c r="B6" s="15">
        <v>873.37</v>
      </c>
      <c r="C6" s="16"/>
      <c r="D6" s="16"/>
      <c r="E6" s="16"/>
      <c r="F6" s="16"/>
      <c r="G6" s="16"/>
    </row>
    <row r="7" spans="1:7" ht="18.75" hidden="1">
      <c r="A7" s="14" t="s">
        <v>12</v>
      </c>
      <c r="B7" s="17">
        <v>0.9</v>
      </c>
      <c r="C7" s="16" t="s">
        <v>78</v>
      </c>
      <c r="D7" s="16">
        <v>1</v>
      </c>
      <c r="E7" s="16"/>
      <c r="F7" s="16"/>
      <c r="G7" s="16"/>
    </row>
    <row r="8" spans="1:7" ht="38.25" customHeight="1" hidden="1">
      <c r="A8" s="18" t="s">
        <v>13</v>
      </c>
      <c r="B8" s="19" t="s">
        <v>14</v>
      </c>
      <c r="C8" s="19" t="s">
        <v>15</v>
      </c>
      <c r="D8" s="19" t="s">
        <v>16</v>
      </c>
      <c r="E8" s="19" t="s">
        <v>17</v>
      </c>
      <c r="F8" s="16"/>
      <c r="G8" s="16"/>
    </row>
    <row r="9" spans="1:7" ht="20.25" customHeight="1" hidden="1">
      <c r="A9" s="14"/>
      <c r="B9" s="17">
        <v>1074</v>
      </c>
      <c r="C9" s="17">
        <v>2579</v>
      </c>
      <c r="D9" s="17">
        <v>786</v>
      </c>
      <c r="E9" s="17">
        <v>2867</v>
      </c>
      <c r="F9" s="16"/>
      <c r="G9" s="16"/>
    </row>
    <row r="10" spans="1:7" ht="18.75" hidden="1">
      <c r="A10" s="14" t="s">
        <v>18</v>
      </c>
      <c r="B10" s="20">
        <v>4883.37</v>
      </c>
      <c r="C10" s="16"/>
      <c r="D10" s="16"/>
      <c r="E10" s="16"/>
      <c r="F10" s="16"/>
      <c r="G10" s="16"/>
    </row>
    <row r="11" spans="1:7" ht="19.5" hidden="1">
      <c r="A11" s="14" t="s">
        <v>19</v>
      </c>
      <c r="B11" s="20">
        <v>550</v>
      </c>
      <c r="C11" s="20">
        <v>446.6</v>
      </c>
      <c r="D11" s="20">
        <f>B11+C11</f>
        <v>996.6</v>
      </c>
      <c r="E11" s="16"/>
      <c r="F11" s="16"/>
      <c r="G11" s="16"/>
    </row>
    <row r="12" spans="1:7" ht="50.25" customHeight="1" hidden="1">
      <c r="A12" s="14" t="s">
        <v>20</v>
      </c>
      <c r="B12" s="19" t="s">
        <v>21</v>
      </c>
      <c r="C12" s="21" t="s">
        <v>22</v>
      </c>
      <c r="D12" s="19" t="s">
        <v>23</v>
      </c>
      <c r="E12" s="22" t="s">
        <v>24</v>
      </c>
      <c r="F12" s="17" t="s">
        <v>25</v>
      </c>
      <c r="G12" s="16"/>
    </row>
    <row r="13" spans="1:7" ht="23.25" customHeight="1" hidden="1">
      <c r="A13" s="23"/>
      <c r="B13" s="24">
        <v>108</v>
      </c>
      <c r="C13" s="24">
        <v>108</v>
      </c>
      <c r="D13" s="24"/>
      <c r="E13" s="25">
        <f>D13+C13+B13</f>
        <v>216</v>
      </c>
      <c r="F13" s="17"/>
      <c r="G13" s="16"/>
    </row>
    <row r="14" spans="1:7" ht="18.75" customHeight="1">
      <c r="A14" s="26" t="s">
        <v>26</v>
      </c>
      <c r="B14" s="26"/>
      <c r="C14" s="26"/>
      <c r="D14" s="26"/>
      <c r="E14" s="26"/>
      <c r="F14" s="26"/>
      <c r="G14" s="27" t="s">
        <v>27</v>
      </c>
    </row>
    <row r="15" spans="1:7" ht="15.75">
      <c r="A15" s="28" t="s">
        <v>28</v>
      </c>
      <c r="B15" s="28"/>
      <c r="C15" s="28"/>
      <c r="D15" s="28"/>
      <c r="E15" s="28"/>
      <c r="F15" s="28"/>
      <c r="G15" s="29">
        <f>B6*8.689*4</f>
        <v>30354.84772</v>
      </c>
    </row>
    <row r="16" spans="1:7" ht="15.75">
      <c r="A16" s="28" t="s">
        <v>29</v>
      </c>
      <c r="B16" s="28"/>
      <c r="C16" s="28"/>
      <c r="D16" s="28"/>
      <c r="E16" s="28"/>
      <c r="F16" s="28"/>
      <c r="G16" s="29">
        <f>B7*19.029*4</f>
        <v>68.5044</v>
      </c>
    </row>
    <row r="17" spans="1:7" ht="15.75">
      <c r="A17" s="28" t="s">
        <v>30</v>
      </c>
      <c r="B17" s="28"/>
      <c r="C17" s="28"/>
      <c r="D17" s="28"/>
      <c r="E17" s="28"/>
      <c r="F17" s="28"/>
      <c r="G17" s="29">
        <f>B10*0.4522*4</f>
        <v>8833.039655999999</v>
      </c>
    </row>
    <row r="18" spans="1:7" ht="15.75">
      <c r="A18" s="28" t="s">
        <v>31</v>
      </c>
      <c r="B18" s="28"/>
      <c r="C18" s="28"/>
      <c r="D18" s="28"/>
      <c r="E18" s="28"/>
      <c r="F18" s="28"/>
      <c r="G18" s="29">
        <f>(B9*12.84/100*64)+(C9*9.63/100*38)+(D9*32.11/100*26)+(E9*2.41/100*5)</f>
        <v>25170.768099999998</v>
      </c>
    </row>
    <row r="19" spans="1:7" ht="15.75" customHeight="1">
      <c r="A19" s="30" t="s">
        <v>32</v>
      </c>
      <c r="B19" s="30"/>
      <c r="C19" s="30"/>
      <c r="D19" s="30"/>
      <c r="E19" s="30"/>
      <c r="F19" s="30"/>
      <c r="G19" s="31">
        <f>574906.73/199064.79*B3</f>
        <v>14103.359404142237</v>
      </c>
    </row>
    <row r="20" spans="1:7" ht="15.75">
      <c r="A20" s="28" t="s">
        <v>33</v>
      </c>
      <c r="B20" s="28"/>
      <c r="C20" s="28"/>
      <c r="D20" s="28"/>
      <c r="E20" s="28"/>
      <c r="F20" s="28"/>
      <c r="G20" s="29">
        <f>D11*0.14*2</f>
        <v>279.04800000000006</v>
      </c>
    </row>
    <row r="21" spans="1:7" ht="15.75" hidden="1">
      <c r="A21" s="28" t="s">
        <v>34</v>
      </c>
      <c r="B21" s="28"/>
      <c r="C21" s="28"/>
      <c r="D21" s="28"/>
      <c r="E21" s="28"/>
      <c r="F21" s="28"/>
      <c r="G21" s="29">
        <v>0</v>
      </c>
    </row>
    <row r="22" spans="1:7" ht="15.75">
      <c r="A22" s="28" t="s">
        <v>35</v>
      </c>
      <c r="B22" s="28"/>
      <c r="C22" s="28"/>
      <c r="D22" s="28"/>
      <c r="E22" s="28"/>
      <c r="F22" s="28"/>
      <c r="G22" s="29">
        <f>B3*0.845*4</f>
        <v>16505.7906</v>
      </c>
    </row>
    <row r="23" spans="1:7" ht="15.75">
      <c r="A23" s="28" t="s">
        <v>36</v>
      </c>
      <c r="B23" s="28"/>
      <c r="C23" s="28"/>
      <c r="D23" s="28"/>
      <c r="E23" s="28"/>
      <c r="F23" s="28"/>
      <c r="G23" s="29">
        <f>B3*2.648*4</f>
        <v>51724.65504</v>
      </c>
    </row>
    <row r="24" spans="1:7" ht="15.75" hidden="1">
      <c r="A24" s="28" t="s">
        <v>37</v>
      </c>
      <c r="B24" s="28"/>
      <c r="C24" s="28"/>
      <c r="D24" s="28"/>
      <c r="E24" s="28"/>
      <c r="F24" s="28"/>
      <c r="G24" s="29">
        <v>0</v>
      </c>
    </row>
    <row r="25" spans="1:7" ht="15.75">
      <c r="A25" s="28" t="s">
        <v>38</v>
      </c>
      <c r="B25" s="28"/>
      <c r="C25" s="28"/>
      <c r="D25" s="28"/>
      <c r="E25" s="28"/>
      <c r="F25" s="28"/>
      <c r="G25" s="29">
        <f>403*4</f>
        <v>1612</v>
      </c>
    </row>
    <row r="26" spans="1:7" ht="15.75">
      <c r="A26" s="28" t="s">
        <v>39</v>
      </c>
      <c r="B26" s="28"/>
      <c r="C26" s="28"/>
      <c r="D26" s="28"/>
      <c r="E26" s="28"/>
      <c r="F26" s="28"/>
      <c r="G26" s="29">
        <f>4*352+4*251.46</f>
        <v>2413.84</v>
      </c>
    </row>
    <row r="27" spans="1:7" ht="15.75" hidden="1">
      <c r="A27" s="28" t="s">
        <v>40</v>
      </c>
      <c r="B27" s="28"/>
      <c r="C27" s="28"/>
      <c r="D27" s="28"/>
      <c r="E27" s="28"/>
      <c r="F27" s="28"/>
      <c r="G27" s="29">
        <v>0</v>
      </c>
    </row>
    <row r="28" spans="1:7" ht="15.75" hidden="1">
      <c r="A28" s="28" t="s">
        <v>41</v>
      </c>
      <c r="B28" s="28"/>
      <c r="C28" s="28"/>
      <c r="D28" s="28"/>
      <c r="E28" s="28"/>
      <c r="F28" s="28"/>
      <c r="G28" s="29">
        <v>0</v>
      </c>
    </row>
    <row r="29" spans="1:7" ht="15.75" hidden="1">
      <c r="A29" s="28" t="s">
        <v>42</v>
      </c>
      <c r="B29" s="28"/>
      <c r="C29" s="28"/>
      <c r="D29" s="28"/>
      <c r="E29" s="28"/>
      <c r="F29" s="28"/>
      <c r="G29" s="29">
        <v>0</v>
      </c>
    </row>
    <row r="30" spans="1:7" ht="15.75">
      <c r="A30" s="28" t="s">
        <v>43</v>
      </c>
      <c r="B30" s="28"/>
      <c r="C30" s="28"/>
      <c r="D30" s="28"/>
      <c r="E30" s="28"/>
      <c r="F30" s="28"/>
      <c r="G30" s="29">
        <f>B3*1.75*4</f>
        <v>34183.59</v>
      </c>
    </row>
    <row r="31" spans="1:7" ht="15.75" customHeight="1">
      <c r="A31" s="30" t="s">
        <v>44</v>
      </c>
      <c r="B31" s="30"/>
      <c r="C31" s="30"/>
      <c r="D31" s="30"/>
      <c r="E31" s="30"/>
      <c r="F31" s="30"/>
      <c r="G31" s="29">
        <f>(F13*4*8.57)+(B13*2*3.14)+(C13*1*3.14)+(D13*1*3.14)</f>
        <v>1017.36</v>
      </c>
    </row>
    <row r="32" spans="1:7" ht="15.75">
      <c r="A32" s="28" t="s">
        <v>45</v>
      </c>
      <c r="B32" s="28"/>
      <c r="C32" s="28"/>
      <c r="D32" s="28"/>
      <c r="E32" s="28"/>
      <c r="F32" s="28"/>
      <c r="G32" s="29">
        <f>B3*0.65*4</f>
        <v>12696.762</v>
      </c>
    </row>
    <row r="33" spans="1:7" ht="15.75">
      <c r="A33" s="28" t="s">
        <v>46</v>
      </c>
      <c r="B33" s="28"/>
      <c r="C33" s="28"/>
      <c r="D33" s="28"/>
      <c r="E33" s="28"/>
      <c r="F33" s="28"/>
      <c r="G33" s="29">
        <f>B3*0.2*4</f>
        <v>3906.696</v>
      </c>
    </row>
    <row r="34" spans="1:7" ht="15.75">
      <c r="A34" s="28" t="s">
        <v>47</v>
      </c>
      <c r="B34" s="28"/>
      <c r="C34" s="28"/>
      <c r="D34" s="28"/>
      <c r="E34" s="28"/>
      <c r="F34" s="28"/>
      <c r="G34" s="29">
        <f>B3*0.7*4</f>
        <v>13673.436</v>
      </c>
    </row>
    <row r="35" spans="1:7" ht="15.75">
      <c r="A35" s="26" t="s">
        <v>48</v>
      </c>
      <c r="B35" s="26"/>
      <c r="C35" s="26"/>
      <c r="D35" s="26"/>
      <c r="E35" s="26"/>
      <c r="F35" s="26"/>
      <c r="G35" s="32">
        <f>G15+G16+G17+G18+G19+G20+G21+G22+G23+G24+G26+G30+G31+G32+G33+G34+G27+G28+G29+G25</f>
        <v>216543.69692014216</v>
      </c>
    </row>
    <row r="36" spans="1:7" ht="20.25" customHeight="1">
      <c r="A36" s="33" t="s">
        <v>49</v>
      </c>
      <c r="B36" s="33"/>
      <c r="C36" s="33"/>
      <c r="D36" s="33"/>
      <c r="E36" s="33"/>
      <c r="F36" s="33"/>
      <c r="G36" s="29"/>
    </row>
    <row r="37" spans="1:7" ht="15.75" hidden="1">
      <c r="A37" s="28" t="s">
        <v>50</v>
      </c>
      <c r="B37" s="28"/>
      <c r="C37" s="28"/>
      <c r="D37" s="28"/>
      <c r="E37" s="28"/>
      <c r="F37" s="28"/>
      <c r="G37" s="29"/>
    </row>
    <row r="38" spans="1:7" ht="15.75">
      <c r="A38" s="28" t="s">
        <v>51</v>
      </c>
      <c r="B38" s="28"/>
      <c r="C38" s="28"/>
      <c r="D38" s="28"/>
      <c r="E38" s="28"/>
      <c r="F38" s="28"/>
      <c r="G38" s="29"/>
    </row>
    <row r="39" spans="1:7" ht="15.75" hidden="1">
      <c r="A39" s="34" t="s">
        <v>52</v>
      </c>
      <c r="B39" s="34"/>
      <c r="C39" s="34"/>
      <c r="D39" s="34"/>
      <c r="E39" s="34"/>
      <c r="F39" s="34"/>
      <c r="G39" s="29"/>
    </row>
    <row r="40" spans="1:7" ht="15.75" hidden="1">
      <c r="A40" s="34" t="s">
        <v>53</v>
      </c>
      <c r="B40" s="34"/>
      <c r="C40" s="34"/>
      <c r="D40" s="34"/>
      <c r="E40" s="34"/>
      <c r="F40" s="34"/>
      <c r="G40" s="29"/>
    </row>
    <row r="41" spans="1:7" ht="15.75" hidden="1">
      <c r="A41" s="34" t="s">
        <v>54</v>
      </c>
      <c r="B41" s="34"/>
      <c r="C41" s="34"/>
      <c r="D41" s="34"/>
      <c r="E41" s="34"/>
      <c r="F41" s="34"/>
      <c r="G41" s="29"/>
    </row>
    <row r="42" spans="1:7" ht="15.75" hidden="1">
      <c r="A42" s="34" t="s">
        <v>55</v>
      </c>
      <c r="B42" s="34"/>
      <c r="C42" s="34"/>
      <c r="D42" s="34"/>
      <c r="E42" s="34"/>
      <c r="F42" s="34"/>
      <c r="G42" s="29"/>
    </row>
    <row r="43" spans="1:7" ht="15.75" hidden="1">
      <c r="A43" s="34" t="s">
        <v>56</v>
      </c>
      <c r="B43" s="34"/>
      <c r="C43" s="34"/>
      <c r="D43" s="34"/>
      <c r="E43" s="34"/>
      <c r="F43" s="34"/>
      <c r="G43" s="29"/>
    </row>
    <row r="44" spans="1:7" ht="15.75" hidden="1">
      <c r="A44" s="34" t="s">
        <v>57</v>
      </c>
      <c r="B44" s="34"/>
      <c r="C44" s="34"/>
      <c r="D44" s="34"/>
      <c r="E44" s="34"/>
      <c r="F44" s="34"/>
      <c r="G44" s="29"/>
    </row>
    <row r="45" spans="1:7" ht="15.75">
      <c r="A45" s="34" t="s">
        <v>58</v>
      </c>
      <c r="B45" s="34"/>
      <c r="C45" s="34"/>
      <c r="D45" s="34"/>
      <c r="E45" s="34"/>
      <c r="F45" s="34"/>
      <c r="G45" s="29">
        <v>337</v>
      </c>
    </row>
    <row r="46" spans="1:7" ht="15.75" hidden="1">
      <c r="A46" s="34" t="s">
        <v>59</v>
      </c>
      <c r="B46" s="34"/>
      <c r="C46" s="34"/>
      <c r="D46" s="34"/>
      <c r="E46" s="34"/>
      <c r="F46" s="34"/>
      <c r="G46" s="29"/>
    </row>
    <row r="47" spans="1:7" ht="15.75" hidden="1">
      <c r="A47" s="34" t="s">
        <v>60</v>
      </c>
      <c r="B47" s="34"/>
      <c r="C47" s="34"/>
      <c r="D47" s="34"/>
      <c r="E47" s="34"/>
      <c r="F47" s="34"/>
      <c r="G47" s="29"/>
    </row>
    <row r="48" spans="1:7" ht="15.75" hidden="1">
      <c r="A48" s="34" t="s">
        <v>61</v>
      </c>
      <c r="B48" s="34"/>
      <c r="C48" s="34"/>
      <c r="D48" s="34"/>
      <c r="E48" s="34"/>
      <c r="F48" s="34"/>
      <c r="G48" s="29"/>
    </row>
    <row r="49" spans="1:7" ht="15.75" hidden="1">
      <c r="A49" s="34" t="s">
        <v>62</v>
      </c>
      <c r="B49" s="34"/>
      <c r="C49" s="34"/>
      <c r="D49" s="34"/>
      <c r="E49" s="34"/>
      <c r="F49" s="34"/>
      <c r="G49" s="29"/>
    </row>
    <row r="50" spans="1:7" ht="15.75">
      <c r="A50" s="34" t="s">
        <v>63</v>
      </c>
      <c r="B50" s="34"/>
      <c r="C50" s="34"/>
      <c r="D50" s="34"/>
      <c r="E50" s="34"/>
      <c r="F50" s="34"/>
      <c r="G50" s="29">
        <v>4120</v>
      </c>
    </row>
    <row r="51" spans="1:7" ht="15.75" hidden="1">
      <c r="A51" s="34" t="s">
        <v>64</v>
      </c>
      <c r="B51" s="34"/>
      <c r="C51" s="34"/>
      <c r="D51" s="34"/>
      <c r="E51" s="34"/>
      <c r="F51" s="34"/>
      <c r="G51" s="29"/>
    </row>
    <row r="52" spans="1:7" ht="15.75" hidden="1">
      <c r="A52" s="34" t="s">
        <v>65</v>
      </c>
      <c r="B52" s="34"/>
      <c r="C52" s="34"/>
      <c r="D52" s="34"/>
      <c r="E52" s="34"/>
      <c r="F52" s="34"/>
      <c r="G52" s="29"/>
    </row>
    <row r="53" spans="1:7" ht="15.75" customHeight="1">
      <c r="A53" s="33" t="s">
        <v>66</v>
      </c>
      <c r="B53" s="33"/>
      <c r="C53" s="33"/>
      <c r="D53" s="33"/>
      <c r="E53" s="33"/>
      <c r="F53" s="33"/>
      <c r="G53" s="32">
        <f>G39+G40+G41+G42+G43+G44+G45+G46+G47+G48+G49+G50+G51+G52</f>
        <v>4457</v>
      </c>
    </row>
    <row r="54" spans="1:7" ht="15.75" customHeight="1">
      <c r="A54" s="33" t="s">
        <v>67</v>
      </c>
      <c r="B54" s="33"/>
      <c r="C54" s="33"/>
      <c r="D54" s="33"/>
      <c r="E54" s="33"/>
      <c r="F54" s="33"/>
      <c r="G54" s="32">
        <f>G35+G53</f>
        <v>221000.69692014216</v>
      </c>
    </row>
    <row r="55" spans="1:7" ht="15.75" hidden="1">
      <c r="A55" s="28" t="s">
        <v>68</v>
      </c>
      <c r="B55" s="28"/>
      <c r="C55" s="28"/>
      <c r="D55" s="28"/>
      <c r="E55" s="28"/>
      <c r="F55" s="28"/>
      <c r="G55" s="29"/>
    </row>
    <row r="56" spans="1:7" ht="15.75">
      <c r="A56" s="41" t="s">
        <v>69</v>
      </c>
      <c r="B56" s="41"/>
      <c r="C56" s="41"/>
      <c r="D56" s="41"/>
      <c r="E56" s="41"/>
      <c r="F56" s="41"/>
      <c r="G56" s="29">
        <f>281.58*4+141.6*4+180*4</f>
        <v>2412.72</v>
      </c>
    </row>
    <row r="57" spans="1:7" ht="15.75" customHeight="1">
      <c r="A57" s="42" t="s">
        <v>70</v>
      </c>
      <c r="B57" s="42"/>
      <c r="C57" s="42"/>
      <c r="D57" s="42"/>
      <c r="E57" s="42"/>
      <c r="F57" s="42"/>
      <c r="G57" s="32">
        <f>B3*B5*4+G56</f>
        <v>284476.1712</v>
      </c>
    </row>
    <row r="58" spans="1:7" ht="15.75" customHeight="1">
      <c r="A58" s="43" t="s">
        <v>71</v>
      </c>
      <c r="B58" s="43"/>
      <c r="C58" s="43"/>
      <c r="D58" s="43"/>
      <c r="E58" s="43"/>
      <c r="F58" s="43"/>
      <c r="G58" s="44">
        <v>21903.53</v>
      </c>
    </row>
    <row r="59" spans="1:7" ht="64.5" customHeight="1">
      <c r="A59" s="33" t="s">
        <v>82</v>
      </c>
      <c r="B59" s="33"/>
      <c r="C59" s="33"/>
      <c r="D59" s="33"/>
      <c r="E59" s="33"/>
      <c r="F59" s="33"/>
      <c r="G59" s="32">
        <f>G54-G57-G55+G58</f>
        <v>-41571.944279857824</v>
      </c>
    </row>
  </sheetData>
  <sheetProtection selectLockedCells="1" selectUnlockedCells="1"/>
  <mergeCells count="48">
    <mergeCell ref="A1:G1"/>
    <mergeCell ref="B2:E2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3"/>
  </sheetPr>
  <dimension ref="A1:G59"/>
  <sheetViews>
    <sheetView zoomScale="75" zoomScaleNormal="75" workbookViewId="0" topLeftCell="A26">
      <pane ySplit="65535" topLeftCell="A26" activePane="topLeft" state="split"/>
      <selection pane="topLeft" activeCell="G58" activeCellId="1" sqref="A77:G138 G58"/>
      <selection pane="bottomLeft" activeCell="A26" sqref="A26"/>
    </sheetView>
  </sheetViews>
  <sheetFormatPr defaultColWidth="9.140625" defaultRowHeight="12.75"/>
  <cols>
    <col min="1" max="1" width="23.8515625" style="1" customWidth="1"/>
    <col min="2" max="2" width="11.57421875" style="1" customWidth="1"/>
    <col min="3" max="5" width="9.140625" style="1" customWidth="1"/>
    <col min="6" max="6" width="21.421875" style="1" customWidth="1"/>
    <col min="7" max="7" width="15.57421875" style="1" customWidth="1"/>
    <col min="8" max="16384" width="9.140625" style="1" customWidth="1"/>
  </cols>
  <sheetData>
    <row r="1" spans="1:7" ht="39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120</v>
      </c>
      <c r="C2" s="7"/>
      <c r="D2" s="7"/>
      <c r="E2" s="7"/>
      <c r="F2" s="8" t="s">
        <v>3</v>
      </c>
      <c r="G2" s="9" t="s">
        <v>93</v>
      </c>
    </row>
    <row r="3" spans="1:7" ht="18.75">
      <c r="A3" s="6" t="s">
        <v>4</v>
      </c>
      <c r="B3" s="10">
        <v>13530.7</v>
      </c>
      <c r="F3" s="8" t="s">
        <v>5</v>
      </c>
      <c r="G3" s="11">
        <v>5</v>
      </c>
    </row>
    <row r="4" spans="1:7" ht="18.75">
      <c r="A4" s="12" t="s">
        <v>6</v>
      </c>
      <c r="B4" s="13"/>
      <c r="F4" s="8" t="s">
        <v>8</v>
      </c>
      <c r="G4" s="9">
        <v>1991</v>
      </c>
    </row>
    <row r="5" spans="1:3" ht="16.5" customHeight="1">
      <c r="A5" s="12" t="s">
        <v>6</v>
      </c>
      <c r="B5" s="13">
        <v>15.08</v>
      </c>
      <c r="C5" s="1" t="s">
        <v>9</v>
      </c>
    </row>
    <row r="6" spans="1:7" ht="18.75" hidden="1">
      <c r="A6" s="14" t="s">
        <v>10</v>
      </c>
      <c r="B6" s="15">
        <v>2066.9</v>
      </c>
      <c r="C6" s="16"/>
      <c r="D6" s="16"/>
      <c r="E6" s="16"/>
      <c r="F6" s="16"/>
      <c r="G6" s="16"/>
    </row>
    <row r="7" spans="1:7" ht="18.75" hidden="1">
      <c r="A7" s="14" t="s">
        <v>12</v>
      </c>
      <c r="B7" s="17">
        <v>5.5</v>
      </c>
      <c r="C7" s="16" t="s">
        <v>78</v>
      </c>
      <c r="D7" s="16">
        <v>5</v>
      </c>
      <c r="E7" s="16"/>
      <c r="F7" s="16"/>
      <c r="G7" s="16"/>
    </row>
    <row r="8" spans="1:7" ht="38.25" customHeight="1" hidden="1">
      <c r="A8" s="18" t="s">
        <v>13</v>
      </c>
      <c r="B8" s="19" t="s">
        <v>14</v>
      </c>
      <c r="C8" s="19" t="s">
        <v>15</v>
      </c>
      <c r="D8" s="19" t="s">
        <v>16</v>
      </c>
      <c r="E8" s="19" t="s">
        <v>17</v>
      </c>
      <c r="F8" s="16"/>
      <c r="G8" s="16"/>
    </row>
    <row r="9" spans="1:7" ht="20.25" customHeight="1" hidden="1">
      <c r="A9" s="14"/>
      <c r="B9" s="17">
        <v>1975</v>
      </c>
      <c r="C9" s="17">
        <v>3728</v>
      </c>
      <c r="D9" s="17">
        <v>1533</v>
      </c>
      <c r="E9" s="17">
        <v>4170</v>
      </c>
      <c r="F9" s="16"/>
      <c r="G9" s="16"/>
    </row>
    <row r="10" spans="1:7" ht="18.75" hidden="1">
      <c r="A10" s="14" t="s">
        <v>18</v>
      </c>
      <c r="B10" s="20">
        <v>13530.7</v>
      </c>
      <c r="C10" s="16"/>
      <c r="D10" s="16"/>
      <c r="E10" s="16"/>
      <c r="F10" s="16"/>
      <c r="G10" s="16"/>
    </row>
    <row r="11" spans="1:7" ht="19.5" hidden="1">
      <c r="A11" s="14" t="s">
        <v>19</v>
      </c>
      <c r="B11" s="20">
        <v>1200.1</v>
      </c>
      <c r="C11" s="20">
        <v>1234.4</v>
      </c>
      <c r="D11" s="20">
        <f>B11+C11</f>
        <v>2434.5</v>
      </c>
      <c r="E11" s="16"/>
      <c r="F11" s="16"/>
      <c r="G11" s="16"/>
    </row>
    <row r="12" spans="1:7" ht="50.25" customHeight="1" hidden="1">
      <c r="A12" s="14" t="s">
        <v>20</v>
      </c>
      <c r="B12" s="19" t="s">
        <v>21</v>
      </c>
      <c r="C12" s="21" t="s">
        <v>22</v>
      </c>
      <c r="D12" s="19" t="s">
        <v>23</v>
      </c>
      <c r="E12" s="22" t="s">
        <v>24</v>
      </c>
      <c r="F12" s="17" t="s">
        <v>25</v>
      </c>
      <c r="G12" s="16"/>
    </row>
    <row r="13" spans="1:7" ht="23.25" customHeight="1" hidden="1">
      <c r="A13" s="23"/>
      <c r="B13" s="24">
        <v>192</v>
      </c>
      <c r="C13" s="24">
        <v>192</v>
      </c>
      <c r="D13" s="24"/>
      <c r="E13" s="25">
        <f>D13+C13+B13</f>
        <v>384</v>
      </c>
      <c r="F13" s="17"/>
      <c r="G13" s="16"/>
    </row>
    <row r="14" spans="1:7" ht="18.75" customHeight="1">
      <c r="A14" s="26" t="s">
        <v>26</v>
      </c>
      <c r="B14" s="26"/>
      <c r="C14" s="26"/>
      <c r="D14" s="26"/>
      <c r="E14" s="26"/>
      <c r="F14" s="26"/>
      <c r="G14" s="27" t="s">
        <v>27</v>
      </c>
    </row>
    <row r="15" spans="1:7" ht="15.75">
      <c r="A15" s="28" t="s">
        <v>28</v>
      </c>
      <c r="B15" s="28"/>
      <c r="C15" s="28"/>
      <c r="D15" s="28"/>
      <c r="E15" s="28"/>
      <c r="F15" s="28"/>
      <c r="G15" s="29">
        <f>B6*8.689*4</f>
        <v>71837.1764</v>
      </c>
    </row>
    <row r="16" spans="1:7" ht="15.75">
      <c r="A16" s="28" t="s">
        <v>29</v>
      </c>
      <c r="B16" s="28"/>
      <c r="C16" s="28"/>
      <c r="D16" s="28"/>
      <c r="E16" s="28"/>
      <c r="F16" s="28"/>
      <c r="G16" s="29">
        <f>B7*19.029*4</f>
        <v>418.638</v>
      </c>
    </row>
    <row r="17" spans="1:7" ht="15.75">
      <c r="A17" s="28" t="s">
        <v>30</v>
      </c>
      <c r="B17" s="28"/>
      <c r="C17" s="28"/>
      <c r="D17" s="28"/>
      <c r="E17" s="28"/>
      <c r="F17" s="28"/>
      <c r="G17" s="29">
        <f>B10*0.4522*4</f>
        <v>24474.33016</v>
      </c>
    </row>
    <row r="18" spans="1:7" ht="15.75">
      <c r="A18" s="28" t="s">
        <v>31</v>
      </c>
      <c r="B18" s="28"/>
      <c r="C18" s="28"/>
      <c r="D18" s="28"/>
      <c r="E18" s="28"/>
      <c r="F18" s="28"/>
      <c r="G18" s="29">
        <f>(B9*12.84/100*64)+(C9*9.63/100*38)+(D9*32.11/100*26)+(E9*2.41/100*5)</f>
        <v>43172.892</v>
      </c>
    </row>
    <row r="19" spans="1:7" ht="15.75" customHeight="1">
      <c r="A19" s="30" t="s">
        <v>32</v>
      </c>
      <c r="B19" s="30"/>
      <c r="C19" s="30"/>
      <c r="D19" s="30"/>
      <c r="E19" s="30"/>
      <c r="F19" s="30"/>
      <c r="G19" s="31">
        <f>574906.73/199064.79*B3</f>
        <v>39077.179302331664</v>
      </c>
    </row>
    <row r="20" spans="1:7" ht="15.75">
      <c r="A20" s="28" t="s">
        <v>33</v>
      </c>
      <c r="B20" s="28"/>
      <c r="C20" s="28"/>
      <c r="D20" s="28"/>
      <c r="E20" s="28"/>
      <c r="F20" s="28"/>
      <c r="G20" s="29">
        <f>D11*0.14*2+1860.16</f>
        <v>2541.82</v>
      </c>
    </row>
    <row r="21" spans="1:7" ht="15.75" hidden="1">
      <c r="A21" s="28" t="s">
        <v>34</v>
      </c>
      <c r="B21" s="28"/>
      <c r="C21" s="28"/>
      <c r="D21" s="28"/>
      <c r="E21" s="28"/>
      <c r="F21" s="28"/>
      <c r="G21" s="29">
        <v>0</v>
      </c>
    </row>
    <row r="22" spans="1:7" ht="15.75">
      <c r="A22" s="28" t="s">
        <v>35</v>
      </c>
      <c r="B22" s="28"/>
      <c r="C22" s="28"/>
      <c r="D22" s="28"/>
      <c r="E22" s="28"/>
      <c r="F22" s="28"/>
      <c r="G22" s="29">
        <f>B3*0.845*4</f>
        <v>45733.766</v>
      </c>
    </row>
    <row r="23" spans="1:7" ht="15.75">
      <c r="A23" s="28" t="s">
        <v>36</v>
      </c>
      <c r="B23" s="28"/>
      <c r="C23" s="28"/>
      <c r="D23" s="28"/>
      <c r="E23" s="28"/>
      <c r="F23" s="28"/>
      <c r="G23" s="29">
        <f>B3*2.648*4</f>
        <v>143317.17440000002</v>
      </c>
    </row>
    <row r="24" spans="1:7" ht="15.75" hidden="1">
      <c r="A24" s="28" t="s">
        <v>37</v>
      </c>
      <c r="B24" s="28"/>
      <c r="C24" s="28"/>
      <c r="D24" s="28"/>
      <c r="E24" s="28"/>
      <c r="F24" s="28"/>
      <c r="G24" s="29">
        <v>0</v>
      </c>
    </row>
    <row r="25" spans="1:7" ht="15.75">
      <c r="A25" s="28" t="s">
        <v>38</v>
      </c>
      <c r="B25" s="28"/>
      <c r="C25" s="28"/>
      <c r="D25" s="28"/>
      <c r="E25" s="28"/>
      <c r="F25" s="28"/>
      <c r="G25" s="29">
        <f>403*4</f>
        <v>1612</v>
      </c>
    </row>
    <row r="26" spans="1:7" ht="15.75">
      <c r="A26" s="28" t="s">
        <v>39</v>
      </c>
      <c r="B26" s="28"/>
      <c r="C26" s="28"/>
      <c r="D26" s="28"/>
      <c r="E26" s="28"/>
      <c r="F26" s="28"/>
      <c r="G26" s="29">
        <f>8*352+8*251.46+4244.98</f>
        <v>9072.66</v>
      </c>
    </row>
    <row r="27" spans="1:7" ht="15.75">
      <c r="A27" s="28" t="s">
        <v>40</v>
      </c>
      <c r="B27" s="28"/>
      <c r="C27" s="28"/>
      <c r="D27" s="28"/>
      <c r="E27" s="28"/>
      <c r="F27" s="28"/>
      <c r="G27" s="29">
        <f>1080.88+1080.88</f>
        <v>2161.76</v>
      </c>
    </row>
    <row r="28" spans="1:7" ht="15.75" hidden="1">
      <c r="A28" s="28" t="s">
        <v>41</v>
      </c>
      <c r="B28" s="28"/>
      <c r="C28" s="28"/>
      <c r="D28" s="28"/>
      <c r="E28" s="28"/>
      <c r="F28" s="28"/>
      <c r="G28" s="29">
        <v>0</v>
      </c>
    </row>
    <row r="29" spans="1:7" ht="15.75" hidden="1">
      <c r="A29" s="28" t="s">
        <v>42</v>
      </c>
      <c r="B29" s="28"/>
      <c r="C29" s="28"/>
      <c r="D29" s="28"/>
      <c r="E29" s="28"/>
      <c r="F29" s="28"/>
      <c r="G29" s="29">
        <v>0</v>
      </c>
    </row>
    <row r="30" spans="1:7" ht="15.75">
      <c r="A30" s="28" t="s">
        <v>43</v>
      </c>
      <c r="B30" s="28"/>
      <c r="C30" s="28"/>
      <c r="D30" s="28"/>
      <c r="E30" s="28"/>
      <c r="F30" s="28"/>
      <c r="G30" s="29">
        <f>B3*1.75*4</f>
        <v>94714.90000000001</v>
      </c>
    </row>
    <row r="31" spans="1:7" ht="15.75" customHeight="1">
      <c r="A31" s="30" t="s">
        <v>44</v>
      </c>
      <c r="B31" s="30"/>
      <c r="C31" s="30"/>
      <c r="D31" s="30"/>
      <c r="E31" s="30"/>
      <c r="F31" s="30"/>
      <c r="G31" s="29">
        <f>(F13*4*8.57)+(B13*2*3.14)+(C13*1*3.14)+(D13*1*3.14)</f>
        <v>1808.6399999999999</v>
      </c>
    </row>
    <row r="32" spans="1:7" ht="15.75">
      <c r="A32" s="28" t="s">
        <v>45</v>
      </c>
      <c r="B32" s="28"/>
      <c r="C32" s="28"/>
      <c r="D32" s="28"/>
      <c r="E32" s="28"/>
      <c r="F32" s="28"/>
      <c r="G32" s="29">
        <f>B3*0.65*4</f>
        <v>35179.82</v>
      </c>
    </row>
    <row r="33" spans="1:7" ht="15.75">
      <c r="A33" s="28" t="s">
        <v>46</v>
      </c>
      <c r="B33" s="28"/>
      <c r="C33" s="28"/>
      <c r="D33" s="28"/>
      <c r="E33" s="28"/>
      <c r="F33" s="28"/>
      <c r="G33" s="29">
        <f>B3*0.2*4</f>
        <v>10824.560000000001</v>
      </c>
    </row>
    <row r="34" spans="1:7" ht="15.75">
      <c r="A34" s="28" t="s">
        <v>47</v>
      </c>
      <c r="B34" s="28"/>
      <c r="C34" s="28"/>
      <c r="D34" s="28"/>
      <c r="E34" s="28"/>
      <c r="F34" s="28"/>
      <c r="G34" s="29">
        <f>B3*0.7*4</f>
        <v>37885.96</v>
      </c>
    </row>
    <row r="35" spans="1:7" ht="15.75">
      <c r="A35" s="26" t="s">
        <v>48</v>
      </c>
      <c r="B35" s="26"/>
      <c r="C35" s="26"/>
      <c r="D35" s="26"/>
      <c r="E35" s="26"/>
      <c r="F35" s="26"/>
      <c r="G35" s="32">
        <f>G15+G16+G17+G18+G19+G20+G21+G22+G23+G24+G26+G30+G31+G32+G33+G34+G27+G28+G29+G25</f>
        <v>563833.2762623318</v>
      </c>
    </row>
    <row r="36" spans="1:7" ht="20.25" customHeight="1">
      <c r="A36" s="33" t="s">
        <v>49</v>
      </c>
      <c r="B36" s="33"/>
      <c r="C36" s="33"/>
      <c r="D36" s="33"/>
      <c r="E36" s="33"/>
      <c r="F36" s="33"/>
      <c r="G36" s="29"/>
    </row>
    <row r="37" spans="1:7" ht="15.75" hidden="1">
      <c r="A37" s="28" t="s">
        <v>50</v>
      </c>
      <c r="B37" s="28"/>
      <c r="C37" s="28"/>
      <c r="D37" s="28"/>
      <c r="E37" s="28"/>
      <c r="F37" s="28"/>
      <c r="G37" s="29"/>
    </row>
    <row r="38" spans="1:7" ht="15.75">
      <c r="A38" s="28" t="s">
        <v>51</v>
      </c>
      <c r="B38" s="28"/>
      <c r="C38" s="28"/>
      <c r="D38" s="28"/>
      <c r="E38" s="28"/>
      <c r="F38" s="28"/>
      <c r="G38" s="29"/>
    </row>
    <row r="39" spans="1:7" ht="15.75">
      <c r="A39" s="34" t="s">
        <v>52</v>
      </c>
      <c r="B39" s="34"/>
      <c r="C39" s="34"/>
      <c r="D39" s="34"/>
      <c r="E39" s="34"/>
      <c r="F39" s="34"/>
      <c r="G39" s="29">
        <v>21640</v>
      </c>
    </row>
    <row r="40" spans="1:7" ht="15.75" hidden="1">
      <c r="A40" s="34" t="s">
        <v>53</v>
      </c>
      <c r="B40" s="34"/>
      <c r="C40" s="34"/>
      <c r="D40" s="34"/>
      <c r="E40" s="34"/>
      <c r="F40" s="34"/>
      <c r="G40" s="29"/>
    </row>
    <row r="41" spans="1:7" ht="15.75">
      <c r="A41" s="34" t="s">
        <v>54</v>
      </c>
      <c r="B41" s="34"/>
      <c r="C41" s="34"/>
      <c r="D41" s="34"/>
      <c r="E41" s="34"/>
      <c r="F41" s="34"/>
      <c r="G41" s="29">
        <v>1090</v>
      </c>
    </row>
    <row r="42" spans="1:7" ht="15.75">
      <c r="A42" s="34" t="s">
        <v>55</v>
      </c>
      <c r="B42" s="34"/>
      <c r="C42" s="34"/>
      <c r="D42" s="34"/>
      <c r="E42" s="34"/>
      <c r="F42" s="34"/>
      <c r="G42" s="29">
        <v>24670</v>
      </c>
    </row>
    <row r="43" spans="1:7" ht="15.75" hidden="1">
      <c r="A43" s="34" t="s">
        <v>56</v>
      </c>
      <c r="B43" s="34"/>
      <c r="C43" s="34"/>
      <c r="D43" s="34"/>
      <c r="E43" s="34"/>
      <c r="F43" s="34"/>
      <c r="G43" s="29"/>
    </row>
    <row r="44" spans="1:7" ht="15.75" hidden="1">
      <c r="A44" s="34" t="s">
        <v>57</v>
      </c>
      <c r="B44" s="34"/>
      <c r="C44" s="34"/>
      <c r="D44" s="34"/>
      <c r="E44" s="34"/>
      <c r="F44" s="34"/>
      <c r="G44" s="29"/>
    </row>
    <row r="45" spans="1:7" ht="15.75">
      <c r="A45" s="34" t="s">
        <v>58</v>
      </c>
      <c r="B45" s="34"/>
      <c r="C45" s="34"/>
      <c r="D45" s="34"/>
      <c r="E45" s="34"/>
      <c r="F45" s="34"/>
      <c r="G45" s="29">
        <v>2863</v>
      </c>
    </row>
    <row r="46" spans="1:7" ht="15.75">
      <c r="A46" s="34" t="s">
        <v>59</v>
      </c>
      <c r="B46" s="34"/>
      <c r="C46" s="34"/>
      <c r="D46" s="34"/>
      <c r="E46" s="34"/>
      <c r="F46" s="34"/>
      <c r="G46" s="29">
        <v>5040</v>
      </c>
    </row>
    <row r="47" spans="1:7" ht="15.75" hidden="1">
      <c r="A47" s="34" t="s">
        <v>60</v>
      </c>
      <c r="B47" s="34"/>
      <c r="C47" s="34"/>
      <c r="D47" s="34"/>
      <c r="E47" s="34"/>
      <c r="F47" s="34"/>
      <c r="G47" s="29"/>
    </row>
    <row r="48" spans="1:7" ht="15.75" hidden="1">
      <c r="A48" s="34" t="s">
        <v>61</v>
      </c>
      <c r="B48" s="34"/>
      <c r="C48" s="34"/>
      <c r="D48" s="34"/>
      <c r="E48" s="34"/>
      <c r="F48" s="34"/>
      <c r="G48" s="29"/>
    </row>
    <row r="49" spans="1:7" ht="15.75" hidden="1">
      <c r="A49" s="34" t="s">
        <v>62</v>
      </c>
      <c r="B49" s="34"/>
      <c r="C49" s="34"/>
      <c r="D49" s="34"/>
      <c r="E49" s="34"/>
      <c r="F49" s="34"/>
      <c r="G49" s="29"/>
    </row>
    <row r="50" spans="1:7" ht="15.75">
      <c r="A50" s="34" t="s">
        <v>63</v>
      </c>
      <c r="B50" s="34"/>
      <c r="C50" s="34"/>
      <c r="D50" s="34"/>
      <c r="E50" s="34"/>
      <c r="F50" s="34"/>
      <c r="G50" s="29">
        <v>12110</v>
      </c>
    </row>
    <row r="51" spans="1:7" ht="15.75" hidden="1">
      <c r="A51" s="34" t="s">
        <v>64</v>
      </c>
      <c r="B51" s="34"/>
      <c r="C51" s="34"/>
      <c r="D51" s="34"/>
      <c r="E51" s="34"/>
      <c r="F51" s="34"/>
      <c r="G51" s="29"/>
    </row>
    <row r="52" spans="1:7" ht="15.75" hidden="1">
      <c r="A52" s="34" t="s">
        <v>65</v>
      </c>
      <c r="B52" s="34"/>
      <c r="C52" s="34"/>
      <c r="D52" s="34"/>
      <c r="E52" s="34"/>
      <c r="F52" s="34"/>
      <c r="G52" s="29"/>
    </row>
    <row r="53" spans="1:7" ht="15.75" customHeight="1">
      <c r="A53" s="33" t="s">
        <v>66</v>
      </c>
      <c r="B53" s="33"/>
      <c r="C53" s="33"/>
      <c r="D53" s="33"/>
      <c r="E53" s="33"/>
      <c r="F53" s="33"/>
      <c r="G53" s="32">
        <f>G39+G40+G41+G42+G43+G44+G45+G46+G47+G48+G49+G50+G51+G52</f>
        <v>67413</v>
      </c>
    </row>
    <row r="54" spans="1:7" ht="15.75" customHeight="1">
      <c r="A54" s="33" t="s">
        <v>67</v>
      </c>
      <c r="B54" s="33"/>
      <c r="C54" s="33"/>
      <c r="D54" s="33"/>
      <c r="E54" s="33"/>
      <c r="F54" s="33"/>
      <c r="G54" s="32">
        <f>G35+G53</f>
        <v>631246.2762623318</v>
      </c>
    </row>
    <row r="55" spans="1:7" ht="15.75">
      <c r="A55" s="28" t="s">
        <v>68</v>
      </c>
      <c r="B55" s="28"/>
      <c r="C55" s="28"/>
      <c r="D55" s="28"/>
      <c r="E55" s="28"/>
      <c r="F55" s="28"/>
      <c r="G55" s="29">
        <v>-1176.89</v>
      </c>
    </row>
    <row r="56" spans="1:7" ht="15.75">
      <c r="A56" s="41" t="s">
        <v>69</v>
      </c>
      <c r="B56" s="41"/>
      <c r="C56" s="41"/>
      <c r="D56" s="41"/>
      <c r="E56" s="41"/>
      <c r="F56" s="41"/>
      <c r="G56" s="29">
        <f>2*281.58*4+3*141.6*4+180*4</f>
        <v>4671.84</v>
      </c>
    </row>
    <row r="57" spans="1:7" ht="15.75" customHeight="1">
      <c r="A57" s="42" t="s">
        <v>70</v>
      </c>
      <c r="B57" s="42"/>
      <c r="C57" s="42"/>
      <c r="D57" s="42"/>
      <c r="E57" s="42"/>
      <c r="F57" s="42"/>
      <c r="G57" s="32">
        <f>B3*B5*4+G56</f>
        <v>820843.664</v>
      </c>
    </row>
    <row r="58" spans="1:7" ht="15.75" customHeight="1">
      <c r="A58" s="43" t="s">
        <v>71</v>
      </c>
      <c r="B58" s="43"/>
      <c r="C58" s="43"/>
      <c r="D58" s="43"/>
      <c r="E58" s="43"/>
      <c r="F58" s="43"/>
      <c r="G58" s="44">
        <v>71687.03</v>
      </c>
    </row>
    <row r="59" spans="1:7" ht="63" customHeight="1">
      <c r="A59" s="33" t="s">
        <v>82</v>
      </c>
      <c r="B59" s="33"/>
      <c r="C59" s="33"/>
      <c r="D59" s="33"/>
      <c r="E59" s="33"/>
      <c r="F59" s="33"/>
      <c r="G59" s="32">
        <f>G54-G57-G55+G58</f>
        <v>-116733.46773766822</v>
      </c>
    </row>
  </sheetData>
  <sheetProtection selectLockedCells="1" selectUnlockedCells="1"/>
  <mergeCells count="48">
    <mergeCell ref="A1:G1"/>
    <mergeCell ref="B2:E2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3"/>
  </sheetPr>
  <dimension ref="A1:G59"/>
  <sheetViews>
    <sheetView zoomScale="75" zoomScaleNormal="75" workbookViewId="0" topLeftCell="A22">
      <pane ySplit="65535" topLeftCell="A22" activePane="topLeft" state="split"/>
      <selection pane="topLeft" activeCell="G57" activeCellId="1" sqref="A77:G138 G57"/>
      <selection pane="bottomLeft" activeCell="A22" sqref="A22"/>
    </sheetView>
  </sheetViews>
  <sheetFormatPr defaultColWidth="9.140625" defaultRowHeight="12.75"/>
  <cols>
    <col min="1" max="1" width="23.8515625" style="1" customWidth="1"/>
    <col min="2" max="2" width="11.57421875" style="1" customWidth="1"/>
    <col min="3" max="5" width="9.140625" style="1" customWidth="1"/>
    <col min="6" max="6" width="21.421875" style="1" customWidth="1"/>
    <col min="7" max="7" width="15.28125" style="1" customWidth="1"/>
    <col min="8" max="16384" width="9.140625" style="1" customWidth="1"/>
  </cols>
  <sheetData>
    <row r="1" spans="1:7" ht="39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121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4</v>
      </c>
      <c r="B3" s="10">
        <v>4792.4</v>
      </c>
      <c r="F3" s="8" t="s">
        <v>5</v>
      </c>
      <c r="G3" s="11">
        <v>6</v>
      </c>
    </row>
    <row r="4" spans="1:7" ht="18.75">
      <c r="A4" s="12" t="s">
        <v>6</v>
      </c>
      <c r="B4" s="13"/>
      <c r="F4" s="8" t="s">
        <v>8</v>
      </c>
      <c r="G4" s="9">
        <v>1974</v>
      </c>
    </row>
    <row r="5" spans="1:3" ht="16.5" customHeight="1">
      <c r="A5" s="12" t="s">
        <v>6</v>
      </c>
      <c r="B5" s="13">
        <v>11.3</v>
      </c>
      <c r="C5" s="1" t="s">
        <v>9</v>
      </c>
    </row>
    <row r="6" spans="1:7" ht="18.75" hidden="1">
      <c r="A6" s="14" t="s">
        <v>10</v>
      </c>
      <c r="B6" s="15">
        <v>411.8</v>
      </c>
      <c r="C6" s="16"/>
      <c r="D6" s="16"/>
      <c r="E6" s="16"/>
      <c r="F6" s="16"/>
      <c r="G6" s="16"/>
    </row>
    <row r="7" spans="1:7" ht="18.75" hidden="1">
      <c r="A7" s="14" t="s">
        <v>12</v>
      </c>
      <c r="B7" s="17">
        <v>0</v>
      </c>
      <c r="C7" s="16"/>
      <c r="D7" s="16"/>
      <c r="E7" s="16"/>
      <c r="F7" s="16"/>
      <c r="G7" s="16"/>
    </row>
    <row r="8" spans="1:7" ht="38.25" customHeight="1" hidden="1">
      <c r="A8" s="18" t="s">
        <v>13</v>
      </c>
      <c r="B8" s="19" t="s">
        <v>14</v>
      </c>
      <c r="C8" s="19" t="s">
        <v>15</v>
      </c>
      <c r="D8" s="19" t="s">
        <v>16</v>
      </c>
      <c r="E8" s="19" t="s">
        <v>17</v>
      </c>
      <c r="F8" s="16"/>
      <c r="G8" s="16"/>
    </row>
    <row r="9" spans="1:7" ht="20.25" customHeight="1" hidden="1">
      <c r="A9" s="14"/>
      <c r="B9" s="17">
        <v>691</v>
      </c>
      <c r="C9" s="17">
        <v>2193</v>
      </c>
      <c r="D9" s="17">
        <v>623</v>
      </c>
      <c r="E9" s="17">
        <v>2261</v>
      </c>
      <c r="F9" s="16"/>
      <c r="G9" s="16"/>
    </row>
    <row r="10" spans="1:7" ht="18.75" hidden="1">
      <c r="A10" s="14" t="s">
        <v>18</v>
      </c>
      <c r="B10" s="20">
        <v>0</v>
      </c>
      <c r="C10" s="16"/>
      <c r="D10" s="16"/>
      <c r="E10" s="16"/>
      <c r="F10" s="16"/>
      <c r="G10" s="16"/>
    </row>
    <row r="11" spans="1:7" ht="19.5" hidden="1">
      <c r="A11" s="14" t="s">
        <v>19</v>
      </c>
      <c r="B11" s="20">
        <v>883.3</v>
      </c>
      <c r="C11" s="20">
        <v>876.3</v>
      </c>
      <c r="D11" s="20">
        <f>B11+C11</f>
        <v>1759.6</v>
      </c>
      <c r="E11" s="16"/>
      <c r="F11" s="16"/>
      <c r="G11" s="16"/>
    </row>
    <row r="12" spans="1:7" ht="50.25" customHeight="1" hidden="1">
      <c r="A12" s="14" t="s">
        <v>20</v>
      </c>
      <c r="B12" s="19" t="s">
        <v>21</v>
      </c>
      <c r="C12" s="21" t="s">
        <v>22</v>
      </c>
      <c r="D12" s="19" t="s">
        <v>23</v>
      </c>
      <c r="E12" s="22" t="s">
        <v>24</v>
      </c>
      <c r="F12" s="17" t="s">
        <v>25</v>
      </c>
      <c r="G12" s="16"/>
    </row>
    <row r="13" spans="1:7" ht="23.25" customHeight="1" hidden="1">
      <c r="A13" s="23"/>
      <c r="B13" s="24">
        <v>90</v>
      </c>
      <c r="C13" s="24">
        <v>90</v>
      </c>
      <c r="D13" s="24"/>
      <c r="E13" s="25">
        <f>D13+C13+B13</f>
        <v>180</v>
      </c>
      <c r="F13" s="17"/>
      <c r="G13" s="16"/>
    </row>
    <row r="14" spans="1:7" ht="18.75" customHeight="1">
      <c r="A14" s="26" t="s">
        <v>26</v>
      </c>
      <c r="B14" s="26"/>
      <c r="C14" s="26"/>
      <c r="D14" s="26"/>
      <c r="E14" s="26"/>
      <c r="F14" s="26"/>
      <c r="G14" s="27" t="s">
        <v>27</v>
      </c>
    </row>
    <row r="15" spans="1:7" ht="15.75">
      <c r="A15" s="28" t="s">
        <v>28</v>
      </c>
      <c r="B15" s="28"/>
      <c r="C15" s="28"/>
      <c r="D15" s="28"/>
      <c r="E15" s="28"/>
      <c r="F15" s="28"/>
      <c r="G15" s="29">
        <f>B6*8.689*4</f>
        <v>14312.5208</v>
      </c>
    </row>
    <row r="16" spans="1:7" ht="15.75" hidden="1">
      <c r="A16" s="28" t="s">
        <v>29</v>
      </c>
      <c r="B16" s="28"/>
      <c r="C16" s="28"/>
      <c r="D16" s="28"/>
      <c r="E16" s="28"/>
      <c r="F16" s="28"/>
      <c r="G16" s="29">
        <f>B7*19.03*12</f>
        <v>0</v>
      </c>
    </row>
    <row r="17" spans="1:7" ht="15.75" hidden="1">
      <c r="A17" s="28" t="s">
        <v>30</v>
      </c>
      <c r="B17" s="28"/>
      <c r="C17" s="28"/>
      <c r="D17" s="28"/>
      <c r="E17" s="28"/>
      <c r="F17" s="28"/>
      <c r="G17" s="29">
        <f>B10*0.4523*12</f>
        <v>0</v>
      </c>
    </row>
    <row r="18" spans="1:7" ht="15.75">
      <c r="A18" s="28" t="s">
        <v>31</v>
      </c>
      <c r="B18" s="28"/>
      <c r="C18" s="28"/>
      <c r="D18" s="28"/>
      <c r="E18" s="28"/>
      <c r="F18" s="28"/>
      <c r="G18" s="29">
        <f>(B9*12.84/100*64)+(C9*9.63/100*38)+(D9*32.11/100*26)+(E9*2.41/100*5)</f>
        <v>19177.0541</v>
      </c>
    </row>
    <row r="19" spans="1:7" ht="15.75" customHeight="1">
      <c r="A19" s="30" t="s">
        <v>32</v>
      </c>
      <c r="B19" s="30"/>
      <c r="C19" s="30"/>
      <c r="D19" s="30"/>
      <c r="E19" s="30"/>
      <c r="F19" s="30"/>
      <c r="G19" s="31">
        <f>574906.73/199064.79*B3</f>
        <v>13840.6345635107</v>
      </c>
    </row>
    <row r="20" spans="1:7" ht="15.75">
      <c r="A20" s="28" t="s">
        <v>33</v>
      </c>
      <c r="B20" s="28"/>
      <c r="C20" s="28"/>
      <c r="D20" s="28"/>
      <c r="E20" s="28"/>
      <c r="F20" s="28"/>
      <c r="G20" s="29">
        <f>D11*0.14*2</f>
        <v>492.68800000000005</v>
      </c>
    </row>
    <row r="21" spans="1:7" ht="15.75" hidden="1">
      <c r="A21" s="28" t="s">
        <v>34</v>
      </c>
      <c r="B21" s="28"/>
      <c r="C21" s="28"/>
      <c r="D21" s="28"/>
      <c r="E21" s="28"/>
      <c r="F21" s="28"/>
      <c r="G21" s="29">
        <v>0</v>
      </c>
    </row>
    <row r="22" spans="1:7" ht="15.75">
      <c r="A22" s="28" t="s">
        <v>35</v>
      </c>
      <c r="B22" s="28"/>
      <c r="C22" s="28"/>
      <c r="D22" s="28"/>
      <c r="E22" s="28"/>
      <c r="F22" s="28"/>
      <c r="G22" s="29">
        <f>B3*0.845*4</f>
        <v>16198.311999999998</v>
      </c>
    </row>
    <row r="23" spans="1:7" ht="15.75" hidden="1">
      <c r="A23" s="28" t="s">
        <v>36</v>
      </c>
      <c r="B23" s="28"/>
      <c r="C23" s="28"/>
      <c r="D23" s="28"/>
      <c r="E23" s="28"/>
      <c r="F23" s="28"/>
      <c r="G23" s="29">
        <v>0</v>
      </c>
    </row>
    <row r="24" spans="1:7" ht="15.75" hidden="1">
      <c r="A24" s="28" t="s">
        <v>37</v>
      </c>
      <c r="B24" s="28"/>
      <c r="C24" s="28"/>
      <c r="D24" s="28"/>
      <c r="E24" s="28"/>
      <c r="F24" s="28"/>
      <c r="G24" s="29">
        <v>0</v>
      </c>
    </row>
    <row r="25" spans="1:7" ht="15.75" hidden="1">
      <c r="A25" s="28" t="s">
        <v>38</v>
      </c>
      <c r="B25" s="28"/>
      <c r="C25" s="28"/>
      <c r="D25" s="28"/>
      <c r="E25" s="28"/>
      <c r="F25" s="28"/>
      <c r="G25" s="29">
        <v>0</v>
      </c>
    </row>
    <row r="26" spans="1:7" ht="15.75">
      <c r="A26" s="28" t="s">
        <v>39</v>
      </c>
      <c r="B26" s="28"/>
      <c r="C26" s="28"/>
      <c r="D26" s="28"/>
      <c r="E26" s="28"/>
      <c r="F26" s="28"/>
      <c r="G26" s="29">
        <f>4*352+3*251.46</f>
        <v>2162.38</v>
      </c>
    </row>
    <row r="27" spans="1:7" ht="15.75">
      <c r="A27" s="28" t="s">
        <v>40</v>
      </c>
      <c r="B27" s="28"/>
      <c r="C27" s="28"/>
      <c r="D27" s="28"/>
      <c r="E27" s="28"/>
      <c r="F27" s="28"/>
      <c r="G27" s="29">
        <f>1080.88</f>
        <v>1080.88</v>
      </c>
    </row>
    <row r="28" spans="1:7" ht="15.75" hidden="1">
      <c r="A28" s="28" t="s">
        <v>41</v>
      </c>
      <c r="B28" s="28"/>
      <c r="C28" s="28"/>
      <c r="D28" s="28"/>
      <c r="E28" s="28"/>
      <c r="F28" s="28"/>
      <c r="G28" s="29">
        <v>0</v>
      </c>
    </row>
    <row r="29" spans="1:7" ht="15.75" hidden="1">
      <c r="A29" s="28" t="s">
        <v>42</v>
      </c>
      <c r="B29" s="28"/>
      <c r="C29" s="28"/>
      <c r="D29" s="28"/>
      <c r="E29" s="28"/>
      <c r="F29" s="28"/>
      <c r="G29" s="29">
        <v>0</v>
      </c>
    </row>
    <row r="30" spans="1:7" ht="15.75">
      <c r="A30" s="28" t="s">
        <v>43</v>
      </c>
      <c r="B30" s="28"/>
      <c r="C30" s="28"/>
      <c r="D30" s="28"/>
      <c r="E30" s="28"/>
      <c r="F30" s="28"/>
      <c r="G30" s="29">
        <f>B3*1.75*4</f>
        <v>33546.799999999996</v>
      </c>
    </row>
    <row r="31" spans="1:7" ht="15.75" customHeight="1">
      <c r="A31" s="30" t="s">
        <v>44</v>
      </c>
      <c r="B31" s="30"/>
      <c r="C31" s="30"/>
      <c r="D31" s="30"/>
      <c r="E31" s="30"/>
      <c r="F31" s="30"/>
      <c r="G31" s="29">
        <f>(F13*4*8.57)+(B13*2*3.14)+(C13*1*3.14)+(D13*1*3.14)</f>
        <v>847.8000000000001</v>
      </c>
    </row>
    <row r="32" spans="1:7" ht="15.75">
      <c r="A32" s="28" t="s">
        <v>45</v>
      </c>
      <c r="B32" s="28"/>
      <c r="C32" s="28"/>
      <c r="D32" s="28"/>
      <c r="E32" s="28"/>
      <c r="F32" s="28"/>
      <c r="G32" s="29">
        <f>B3*0.65*4</f>
        <v>12460.24</v>
      </c>
    </row>
    <row r="33" spans="1:7" ht="15.75">
      <c r="A33" s="28" t="s">
        <v>46</v>
      </c>
      <c r="B33" s="28"/>
      <c r="C33" s="28"/>
      <c r="D33" s="28"/>
      <c r="E33" s="28"/>
      <c r="F33" s="28"/>
      <c r="G33" s="29">
        <f>B3*0.2*4</f>
        <v>3833.92</v>
      </c>
    </row>
    <row r="34" spans="1:7" ht="15.75">
      <c r="A34" s="28" t="s">
        <v>47</v>
      </c>
      <c r="B34" s="28"/>
      <c r="C34" s="28"/>
      <c r="D34" s="28"/>
      <c r="E34" s="28"/>
      <c r="F34" s="28"/>
      <c r="G34" s="29">
        <f>B3*0.7*4</f>
        <v>13418.719999999998</v>
      </c>
    </row>
    <row r="35" spans="1:7" ht="15.75">
      <c r="A35" s="26" t="s">
        <v>48</v>
      </c>
      <c r="B35" s="26"/>
      <c r="C35" s="26"/>
      <c r="D35" s="26"/>
      <c r="E35" s="26"/>
      <c r="F35" s="26"/>
      <c r="G35" s="32">
        <f>G15+G16+G17+G18+G19+G20+G21+G22+G23+G24+G26+G30+G31+G32+G33+G34+G27+G28+G29+G25</f>
        <v>131371.94946351068</v>
      </c>
    </row>
    <row r="36" spans="1:7" ht="20.25" customHeight="1">
      <c r="A36" s="33" t="s">
        <v>49</v>
      </c>
      <c r="B36" s="33"/>
      <c r="C36" s="33"/>
      <c r="D36" s="33"/>
      <c r="E36" s="33"/>
      <c r="F36" s="33"/>
      <c r="G36" s="29"/>
    </row>
    <row r="37" spans="1:7" ht="15.75" hidden="1">
      <c r="A37" s="28" t="s">
        <v>50</v>
      </c>
      <c r="B37" s="28"/>
      <c r="C37" s="28"/>
      <c r="D37" s="28"/>
      <c r="E37" s="28"/>
      <c r="F37" s="28"/>
      <c r="G37" s="29">
        <f>B3*3.47*12</f>
        <v>199555.53600000002</v>
      </c>
    </row>
    <row r="38" spans="1:7" ht="15.75">
      <c r="A38" s="28" t="s">
        <v>51</v>
      </c>
      <c r="B38" s="28"/>
      <c r="C38" s="28"/>
      <c r="D38" s="28"/>
      <c r="E38" s="28"/>
      <c r="F38" s="28"/>
      <c r="G38" s="29"/>
    </row>
    <row r="39" spans="1:7" ht="15.75" hidden="1">
      <c r="A39" s="34" t="s">
        <v>52</v>
      </c>
      <c r="B39" s="34"/>
      <c r="C39" s="34"/>
      <c r="D39" s="34"/>
      <c r="E39" s="34"/>
      <c r="F39" s="34"/>
      <c r="G39" s="29"/>
    </row>
    <row r="40" spans="1:7" ht="15.75" hidden="1">
      <c r="A40" s="34" t="s">
        <v>53</v>
      </c>
      <c r="B40" s="34"/>
      <c r="C40" s="34"/>
      <c r="D40" s="34"/>
      <c r="E40" s="34"/>
      <c r="F40" s="34"/>
      <c r="G40" s="29"/>
    </row>
    <row r="41" spans="1:7" ht="15.75" hidden="1">
      <c r="A41" s="34" t="s">
        <v>54</v>
      </c>
      <c r="B41" s="34"/>
      <c r="C41" s="34"/>
      <c r="D41" s="34"/>
      <c r="E41" s="34"/>
      <c r="F41" s="34"/>
      <c r="G41" s="29"/>
    </row>
    <row r="42" spans="1:7" ht="15.75">
      <c r="A42" s="34" t="s">
        <v>55</v>
      </c>
      <c r="B42" s="34"/>
      <c r="C42" s="34"/>
      <c r="D42" s="34"/>
      <c r="E42" s="34"/>
      <c r="F42" s="34"/>
      <c r="G42" s="29">
        <v>8680</v>
      </c>
    </row>
    <row r="43" spans="1:7" ht="15.75" hidden="1">
      <c r="A43" s="34" t="s">
        <v>56</v>
      </c>
      <c r="B43" s="34"/>
      <c r="C43" s="34"/>
      <c r="D43" s="34"/>
      <c r="E43" s="34"/>
      <c r="F43" s="34"/>
      <c r="G43" s="29"/>
    </row>
    <row r="44" spans="1:7" ht="15.75" hidden="1">
      <c r="A44" s="34" t="s">
        <v>57</v>
      </c>
      <c r="B44" s="34"/>
      <c r="C44" s="34"/>
      <c r="D44" s="34"/>
      <c r="E44" s="34"/>
      <c r="F44" s="34"/>
      <c r="G44" s="29"/>
    </row>
    <row r="45" spans="1:7" ht="15.75">
      <c r="A45" s="34" t="s">
        <v>58</v>
      </c>
      <c r="B45" s="34"/>
      <c r="C45" s="34"/>
      <c r="D45" s="34"/>
      <c r="E45" s="34"/>
      <c r="F45" s="34"/>
      <c r="G45" s="29">
        <v>168</v>
      </c>
    </row>
    <row r="46" spans="1:7" ht="15.75" hidden="1">
      <c r="A46" s="34" t="s">
        <v>59</v>
      </c>
      <c r="B46" s="34"/>
      <c r="C46" s="34"/>
      <c r="D46" s="34"/>
      <c r="E46" s="34"/>
      <c r="F46" s="34"/>
      <c r="G46" s="29"/>
    </row>
    <row r="47" spans="1:7" ht="15.75" hidden="1">
      <c r="A47" s="34" t="s">
        <v>60</v>
      </c>
      <c r="B47" s="34"/>
      <c r="C47" s="34"/>
      <c r="D47" s="34"/>
      <c r="E47" s="34"/>
      <c r="F47" s="34"/>
      <c r="G47" s="29"/>
    </row>
    <row r="48" spans="1:7" ht="15.75" hidden="1">
      <c r="A48" s="34" t="s">
        <v>61</v>
      </c>
      <c r="B48" s="34"/>
      <c r="C48" s="34"/>
      <c r="D48" s="34"/>
      <c r="E48" s="34"/>
      <c r="F48" s="34"/>
      <c r="G48" s="29"/>
    </row>
    <row r="49" spans="1:7" ht="15.75" hidden="1">
      <c r="A49" s="34" t="s">
        <v>62</v>
      </c>
      <c r="B49" s="34"/>
      <c r="C49" s="34"/>
      <c r="D49" s="34"/>
      <c r="E49" s="34"/>
      <c r="F49" s="34"/>
      <c r="G49" s="29"/>
    </row>
    <row r="50" spans="1:7" ht="15.75" hidden="1">
      <c r="A50" s="34" t="s">
        <v>63</v>
      </c>
      <c r="B50" s="34"/>
      <c r="C50" s="34"/>
      <c r="D50" s="34"/>
      <c r="E50" s="34"/>
      <c r="F50" s="34"/>
      <c r="G50" s="29"/>
    </row>
    <row r="51" spans="1:7" ht="15.75" hidden="1">
      <c r="A51" s="34" t="s">
        <v>64</v>
      </c>
      <c r="B51" s="34"/>
      <c r="C51" s="34"/>
      <c r="D51" s="34"/>
      <c r="E51" s="34"/>
      <c r="F51" s="34"/>
      <c r="G51" s="29"/>
    </row>
    <row r="52" spans="1:7" ht="15.75" hidden="1">
      <c r="A52" s="34" t="s">
        <v>65</v>
      </c>
      <c r="B52" s="34"/>
      <c r="C52" s="34"/>
      <c r="D52" s="34"/>
      <c r="E52" s="34"/>
      <c r="F52" s="34"/>
      <c r="G52" s="29"/>
    </row>
    <row r="53" spans="1:7" ht="15.75" customHeight="1">
      <c r="A53" s="33" t="s">
        <v>66</v>
      </c>
      <c r="B53" s="33"/>
      <c r="C53" s="33"/>
      <c r="D53" s="33"/>
      <c r="E53" s="33"/>
      <c r="F53" s="33"/>
      <c r="G53" s="32">
        <f>G39+G40+G41+G42+G43+G44+G45+G46+G47+G48+G49+G50+G51+G52</f>
        <v>8848</v>
      </c>
    </row>
    <row r="54" spans="1:7" ht="15.75" customHeight="1">
      <c r="A54" s="33" t="s">
        <v>67</v>
      </c>
      <c r="B54" s="33"/>
      <c r="C54" s="33"/>
      <c r="D54" s="33"/>
      <c r="E54" s="33"/>
      <c r="F54" s="33"/>
      <c r="G54" s="32">
        <f>G35+G53</f>
        <v>140219.94946351068</v>
      </c>
    </row>
    <row r="55" spans="1:7" ht="15.75" hidden="1">
      <c r="A55" s="28" t="s">
        <v>68</v>
      </c>
      <c r="B55" s="28"/>
      <c r="C55" s="28"/>
      <c r="D55" s="28"/>
      <c r="E55" s="28"/>
      <c r="F55" s="28"/>
      <c r="G55" s="29">
        <v>0</v>
      </c>
    </row>
    <row r="56" spans="1:7" ht="15.75">
      <c r="A56" s="41" t="s">
        <v>69</v>
      </c>
      <c r="B56" s="41"/>
      <c r="C56" s="41"/>
      <c r="D56" s="41"/>
      <c r="E56" s="41"/>
      <c r="F56" s="41"/>
      <c r="G56" s="29">
        <f>281.58*4+141.6*4+180*4</f>
        <v>2412.72</v>
      </c>
    </row>
    <row r="57" spans="1:7" ht="15.75" customHeight="1">
      <c r="A57" s="42" t="s">
        <v>70</v>
      </c>
      <c r="B57" s="42"/>
      <c r="C57" s="42"/>
      <c r="D57" s="42"/>
      <c r="E57" s="42"/>
      <c r="F57" s="42"/>
      <c r="G57" s="32">
        <f>B3*B5*4+G56</f>
        <v>219029.2</v>
      </c>
    </row>
    <row r="58" spans="1:7" ht="15.75" customHeight="1">
      <c r="A58" s="43" t="s">
        <v>71</v>
      </c>
      <c r="B58" s="43"/>
      <c r="C58" s="43"/>
      <c r="D58" s="43"/>
      <c r="E58" s="43"/>
      <c r="F58" s="43"/>
      <c r="G58" s="44">
        <v>21677.3</v>
      </c>
    </row>
    <row r="59" spans="1:7" ht="63" customHeight="1">
      <c r="A59" s="33" t="s">
        <v>82</v>
      </c>
      <c r="B59" s="33"/>
      <c r="C59" s="33"/>
      <c r="D59" s="33"/>
      <c r="E59" s="33"/>
      <c r="F59" s="33"/>
      <c r="G59" s="32">
        <f>G54-G57-G55+G58</f>
        <v>-57131.95053648933</v>
      </c>
    </row>
  </sheetData>
  <sheetProtection selectLockedCells="1" selectUnlockedCells="1"/>
  <mergeCells count="48">
    <mergeCell ref="A1:G1"/>
    <mergeCell ref="B2:E2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0"/>
  </sheetPr>
  <dimension ref="A1:G59"/>
  <sheetViews>
    <sheetView zoomScale="75" zoomScaleNormal="75" workbookViewId="0" topLeftCell="A26">
      <pane ySplit="65535" topLeftCell="A26" activePane="topLeft" state="split"/>
      <selection pane="topLeft" activeCell="G58" activeCellId="1" sqref="A77:G138 G58"/>
      <selection pane="bottomLeft" activeCell="A26" sqref="A26"/>
    </sheetView>
  </sheetViews>
  <sheetFormatPr defaultColWidth="9.140625" defaultRowHeight="12.75"/>
  <cols>
    <col min="1" max="1" width="23.8515625" style="1" customWidth="1"/>
    <col min="2" max="2" width="11.57421875" style="1" customWidth="1"/>
    <col min="3" max="5" width="9.140625" style="1" customWidth="1"/>
    <col min="6" max="6" width="21.421875" style="1" customWidth="1"/>
    <col min="7" max="7" width="15.00390625" style="1" customWidth="1"/>
    <col min="8" max="16384" width="9.140625" style="1" customWidth="1"/>
  </cols>
  <sheetData>
    <row r="1" spans="1:7" ht="39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122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4</v>
      </c>
      <c r="B3" s="10">
        <v>4789.7</v>
      </c>
      <c r="F3" s="8" t="s">
        <v>5</v>
      </c>
      <c r="G3" s="11">
        <v>6</v>
      </c>
    </row>
    <row r="4" spans="1:7" ht="18.75">
      <c r="A4" s="12" t="s">
        <v>6</v>
      </c>
      <c r="B4" s="13"/>
      <c r="F4" s="8" t="s">
        <v>8</v>
      </c>
      <c r="G4" s="9">
        <v>1975</v>
      </c>
    </row>
    <row r="5" spans="1:3" ht="16.5" customHeight="1">
      <c r="A5" s="12" t="s">
        <v>6</v>
      </c>
      <c r="B5" s="13">
        <v>11.3</v>
      </c>
      <c r="C5" s="1" t="s">
        <v>9</v>
      </c>
    </row>
    <row r="6" spans="1:7" ht="18.75" hidden="1">
      <c r="A6" s="14" t="s">
        <v>10</v>
      </c>
      <c r="B6" s="15">
        <v>412.9</v>
      </c>
      <c r="C6" s="16"/>
      <c r="D6" s="16"/>
      <c r="E6" s="16"/>
      <c r="F6" s="16"/>
      <c r="G6" s="16"/>
    </row>
    <row r="7" spans="1:7" ht="18.75" hidden="1">
      <c r="A7" s="14" t="s">
        <v>12</v>
      </c>
      <c r="B7" s="17">
        <v>0</v>
      </c>
      <c r="C7" s="16"/>
      <c r="D7" s="16"/>
      <c r="E7" s="16"/>
      <c r="F7" s="16"/>
      <c r="G7" s="16"/>
    </row>
    <row r="8" spans="1:7" ht="38.25" customHeight="1" hidden="1">
      <c r="A8" s="18" t="s">
        <v>13</v>
      </c>
      <c r="B8" s="19" t="s">
        <v>14</v>
      </c>
      <c r="C8" s="19" t="s">
        <v>15</v>
      </c>
      <c r="D8" s="19" t="s">
        <v>16</v>
      </c>
      <c r="E8" s="19" t="s">
        <v>17</v>
      </c>
      <c r="F8" s="16"/>
      <c r="G8" s="16"/>
    </row>
    <row r="9" spans="1:7" ht="20.25" customHeight="1" hidden="1">
      <c r="A9" s="14"/>
      <c r="B9" s="17">
        <v>696</v>
      </c>
      <c r="C9" s="17">
        <v>3076</v>
      </c>
      <c r="D9" s="17">
        <v>626</v>
      </c>
      <c r="E9" s="17">
        <v>3146</v>
      </c>
      <c r="F9" s="16"/>
      <c r="G9" s="16"/>
    </row>
    <row r="10" spans="1:7" ht="18.75" hidden="1">
      <c r="A10" s="14" t="s">
        <v>18</v>
      </c>
      <c r="B10" s="20">
        <v>0</v>
      </c>
      <c r="C10" s="16"/>
      <c r="D10" s="16"/>
      <c r="E10" s="16"/>
      <c r="F10" s="16"/>
      <c r="G10" s="16"/>
    </row>
    <row r="11" spans="1:7" ht="19.5" hidden="1">
      <c r="A11" s="14" t="s">
        <v>19</v>
      </c>
      <c r="B11" s="20">
        <v>883.3</v>
      </c>
      <c r="C11" s="20">
        <v>875.4</v>
      </c>
      <c r="D11" s="20">
        <f>B11+C11</f>
        <v>1758.6999999999998</v>
      </c>
      <c r="E11" s="16"/>
      <c r="F11" s="16"/>
      <c r="G11" s="16"/>
    </row>
    <row r="12" spans="1:7" ht="50.25" customHeight="1" hidden="1">
      <c r="A12" s="14" t="s">
        <v>20</v>
      </c>
      <c r="B12" s="19" t="s">
        <v>21</v>
      </c>
      <c r="C12" s="21" t="s">
        <v>22</v>
      </c>
      <c r="D12" s="19" t="s">
        <v>23</v>
      </c>
      <c r="E12" s="22" t="s">
        <v>24</v>
      </c>
      <c r="F12" s="17" t="s">
        <v>25</v>
      </c>
      <c r="G12" s="16"/>
    </row>
    <row r="13" spans="1:7" ht="23.25" customHeight="1" hidden="1">
      <c r="A13" s="23"/>
      <c r="B13" s="24">
        <v>90</v>
      </c>
      <c r="C13" s="24">
        <v>90</v>
      </c>
      <c r="D13" s="24"/>
      <c r="E13" s="25">
        <f>D13+C13+B13</f>
        <v>180</v>
      </c>
      <c r="F13" s="17"/>
      <c r="G13" s="16"/>
    </row>
    <row r="14" spans="1:7" ht="18.75" customHeight="1">
      <c r="A14" s="26" t="s">
        <v>26</v>
      </c>
      <c r="B14" s="26"/>
      <c r="C14" s="26"/>
      <c r="D14" s="26"/>
      <c r="E14" s="26"/>
      <c r="F14" s="26"/>
      <c r="G14" s="27" t="s">
        <v>27</v>
      </c>
    </row>
    <row r="15" spans="1:7" ht="15.75">
      <c r="A15" s="28" t="s">
        <v>28</v>
      </c>
      <c r="B15" s="28"/>
      <c r="C15" s="28"/>
      <c r="D15" s="28"/>
      <c r="E15" s="28"/>
      <c r="F15" s="28"/>
      <c r="G15" s="29">
        <f>B6*8.689*4</f>
        <v>14350.7524</v>
      </c>
    </row>
    <row r="16" spans="1:7" ht="15.75" hidden="1">
      <c r="A16" s="28" t="s">
        <v>29</v>
      </c>
      <c r="B16" s="28"/>
      <c r="C16" s="28"/>
      <c r="D16" s="28"/>
      <c r="E16" s="28"/>
      <c r="F16" s="28"/>
      <c r="G16" s="29">
        <f>B7*19.03*12</f>
        <v>0</v>
      </c>
    </row>
    <row r="17" spans="1:7" ht="15.75" hidden="1">
      <c r="A17" s="28" t="s">
        <v>30</v>
      </c>
      <c r="B17" s="28"/>
      <c r="C17" s="28"/>
      <c r="D17" s="28"/>
      <c r="E17" s="28"/>
      <c r="F17" s="28"/>
      <c r="G17" s="29">
        <f>B10*0.4523*12</f>
        <v>0</v>
      </c>
    </row>
    <row r="18" spans="1:7" ht="15.75">
      <c r="A18" s="28" t="s">
        <v>31</v>
      </c>
      <c r="B18" s="28"/>
      <c r="C18" s="28"/>
      <c r="D18" s="28"/>
      <c r="E18" s="28"/>
      <c r="F18" s="28"/>
      <c r="G18" s="29">
        <f>(B9*12.84/100*64)+(C9*9.63/100*38)+(D9*32.11/100*26)+(E9*2.41/100*5)</f>
        <v>22581.0806</v>
      </c>
    </row>
    <row r="19" spans="1:7" ht="15.75" customHeight="1">
      <c r="A19" s="30" t="s">
        <v>32</v>
      </c>
      <c r="B19" s="30"/>
      <c r="C19" s="30"/>
      <c r="D19" s="30"/>
      <c r="E19" s="30"/>
      <c r="F19" s="30"/>
      <c r="G19" s="31">
        <f>574906.73/199064.79*B3</f>
        <v>13832.83686020516</v>
      </c>
    </row>
    <row r="20" spans="1:7" ht="15.75">
      <c r="A20" s="28" t="s">
        <v>33</v>
      </c>
      <c r="B20" s="28"/>
      <c r="C20" s="28"/>
      <c r="D20" s="28"/>
      <c r="E20" s="28"/>
      <c r="F20" s="28"/>
      <c r="G20" s="29">
        <f>D11*0.14*2+1722.44</f>
        <v>2214.876</v>
      </c>
    </row>
    <row r="21" spans="1:7" ht="15.75" hidden="1">
      <c r="A21" s="28" t="s">
        <v>34</v>
      </c>
      <c r="B21" s="28"/>
      <c r="C21" s="28"/>
      <c r="D21" s="28"/>
      <c r="E21" s="28"/>
      <c r="F21" s="28"/>
      <c r="G21" s="29">
        <v>0</v>
      </c>
    </row>
    <row r="22" spans="1:7" ht="15.75">
      <c r="A22" s="28" t="s">
        <v>35</v>
      </c>
      <c r="B22" s="28"/>
      <c r="C22" s="28"/>
      <c r="D22" s="28"/>
      <c r="E22" s="28"/>
      <c r="F22" s="28"/>
      <c r="G22" s="29">
        <f>B3*0.845*4</f>
        <v>16189.186</v>
      </c>
    </row>
    <row r="23" spans="1:7" ht="15.75" hidden="1">
      <c r="A23" s="28" t="s">
        <v>36</v>
      </c>
      <c r="B23" s="28"/>
      <c r="C23" s="28"/>
      <c r="D23" s="28"/>
      <c r="E23" s="28"/>
      <c r="F23" s="28"/>
      <c r="G23" s="29">
        <v>0</v>
      </c>
    </row>
    <row r="24" spans="1:7" ht="15.75" hidden="1">
      <c r="A24" s="28" t="s">
        <v>37</v>
      </c>
      <c r="B24" s="28"/>
      <c r="C24" s="28"/>
      <c r="D24" s="28"/>
      <c r="E24" s="28"/>
      <c r="F24" s="28"/>
      <c r="G24" s="29">
        <v>0</v>
      </c>
    </row>
    <row r="25" spans="1:7" ht="15.75" hidden="1">
      <c r="A25" s="28" t="s">
        <v>38</v>
      </c>
      <c r="B25" s="28"/>
      <c r="C25" s="28"/>
      <c r="D25" s="28"/>
      <c r="E25" s="28"/>
      <c r="F25" s="28"/>
      <c r="G25" s="29">
        <v>0</v>
      </c>
    </row>
    <row r="26" spans="1:7" ht="15.75">
      <c r="A26" s="28" t="s">
        <v>39</v>
      </c>
      <c r="B26" s="28"/>
      <c r="C26" s="28"/>
      <c r="D26" s="28"/>
      <c r="E26" s="28"/>
      <c r="F26" s="28"/>
      <c r="G26" s="29">
        <f>4*352+66804.24</f>
        <v>68212.24</v>
      </c>
    </row>
    <row r="27" spans="1:7" ht="15.75">
      <c r="A27" s="28" t="s">
        <v>40</v>
      </c>
      <c r="B27" s="28"/>
      <c r="C27" s="28"/>
      <c r="D27" s="28"/>
      <c r="E27" s="28"/>
      <c r="F27" s="28"/>
      <c r="G27" s="29">
        <f>1080.88</f>
        <v>1080.88</v>
      </c>
    </row>
    <row r="28" spans="1:7" ht="15.75" hidden="1">
      <c r="A28" s="28" t="s">
        <v>41</v>
      </c>
      <c r="B28" s="28"/>
      <c r="C28" s="28"/>
      <c r="D28" s="28"/>
      <c r="E28" s="28"/>
      <c r="F28" s="28"/>
      <c r="G28" s="29">
        <v>0</v>
      </c>
    </row>
    <row r="29" spans="1:7" ht="15.75" hidden="1">
      <c r="A29" s="28" t="s">
        <v>42</v>
      </c>
      <c r="B29" s="28"/>
      <c r="C29" s="28"/>
      <c r="D29" s="28"/>
      <c r="E29" s="28"/>
      <c r="F29" s="28"/>
      <c r="G29" s="29">
        <v>0</v>
      </c>
    </row>
    <row r="30" spans="1:7" ht="15.75">
      <c r="A30" s="28" t="s">
        <v>43</v>
      </c>
      <c r="B30" s="28"/>
      <c r="C30" s="28"/>
      <c r="D30" s="28"/>
      <c r="E30" s="28"/>
      <c r="F30" s="28"/>
      <c r="G30" s="29">
        <f>B3*1.75*4</f>
        <v>33527.9</v>
      </c>
    </row>
    <row r="31" spans="1:7" ht="15.75" customHeight="1">
      <c r="A31" s="30" t="s">
        <v>44</v>
      </c>
      <c r="B31" s="30"/>
      <c r="C31" s="30"/>
      <c r="D31" s="30"/>
      <c r="E31" s="30"/>
      <c r="F31" s="30"/>
      <c r="G31" s="29">
        <f>(F13*4*8.57)+(B13*2*3.14)+(C13*1*3.14)+(D13*1*3.14)</f>
        <v>847.8000000000001</v>
      </c>
    </row>
    <row r="32" spans="1:7" ht="15.75">
      <c r="A32" s="28" t="s">
        <v>45</v>
      </c>
      <c r="B32" s="28"/>
      <c r="C32" s="28"/>
      <c r="D32" s="28"/>
      <c r="E32" s="28"/>
      <c r="F32" s="28"/>
      <c r="G32" s="29">
        <f>B3*0.65*4</f>
        <v>12453.22</v>
      </c>
    </row>
    <row r="33" spans="1:7" ht="15.75">
      <c r="A33" s="28" t="s">
        <v>46</v>
      </c>
      <c r="B33" s="28"/>
      <c r="C33" s="28"/>
      <c r="D33" s="28"/>
      <c r="E33" s="28"/>
      <c r="F33" s="28"/>
      <c r="G33" s="29">
        <f>B3*0.2*4</f>
        <v>3831.76</v>
      </c>
    </row>
    <row r="34" spans="1:7" ht="15.75">
      <c r="A34" s="28" t="s">
        <v>47</v>
      </c>
      <c r="B34" s="28"/>
      <c r="C34" s="28"/>
      <c r="D34" s="28"/>
      <c r="E34" s="28"/>
      <c r="F34" s="28"/>
      <c r="G34" s="29">
        <f>B3*0.7*4</f>
        <v>13411.159999999998</v>
      </c>
    </row>
    <row r="35" spans="1:7" ht="15.75">
      <c r="A35" s="26" t="s">
        <v>48</v>
      </c>
      <c r="B35" s="26"/>
      <c r="C35" s="26"/>
      <c r="D35" s="26"/>
      <c r="E35" s="26"/>
      <c r="F35" s="26"/>
      <c r="G35" s="32">
        <f>G15+G16+G17+G18+G19+G20+G21+G22+G23+G24+G26+G30+G31+G32+G33+G34+G27+G28+G29+G25</f>
        <v>202533.69186020517</v>
      </c>
    </row>
    <row r="36" spans="1:7" ht="20.25" customHeight="1">
      <c r="A36" s="33" t="s">
        <v>49</v>
      </c>
      <c r="B36" s="33"/>
      <c r="C36" s="33"/>
      <c r="D36" s="33"/>
      <c r="E36" s="33"/>
      <c r="F36" s="33"/>
      <c r="G36" s="29"/>
    </row>
    <row r="37" spans="1:7" ht="15.75" hidden="1">
      <c r="A37" s="28" t="s">
        <v>50</v>
      </c>
      <c r="B37" s="28"/>
      <c r="C37" s="28"/>
      <c r="D37" s="28"/>
      <c r="E37" s="28"/>
      <c r="F37" s="28"/>
      <c r="G37" s="29">
        <f>B3*3.47*12</f>
        <v>199443.108</v>
      </c>
    </row>
    <row r="38" spans="1:7" ht="15.75">
      <c r="A38" s="28" t="s">
        <v>51</v>
      </c>
      <c r="B38" s="28"/>
      <c r="C38" s="28"/>
      <c r="D38" s="28"/>
      <c r="E38" s="28"/>
      <c r="F38" s="28"/>
      <c r="G38" s="29"/>
    </row>
    <row r="39" spans="1:7" ht="15.75" hidden="1">
      <c r="A39" s="34" t="s">
        <v>52</v>
      </c>
      <c r="B39" s="34"/>
      <c r="C39" s="34"/>
      <c r="D39" s="34"/>
      <c r="E39" s="34"/>
      <c r="F39" s="34"/>
      <c r="G39" s="29"/>
    </row>
    <row r="40" spans="1:7" ht="15.75" hidden="1">
      <c r="A40" s="34" t="s">
        <v>53</v>
      </c>
      <c r="B40" s="34"/>
      <c r="C40" s="34"/>
      <c r="D40" s="34"/>
      <c r="E40" s="34"/>
      <c r="F40" s="34"/>
      <c r="G40" s="29"/>
    </row>
    <row r="41" spans="1:7" ht="15.75" hidden="1">
      <c r="A41" s="34" t="s">
        <v>54</v>
      </c>
      <c r="B41" s="34"/>
      <c r="C41" s="34"/>
      <c r="D41" s="34"/>
      <c r="E41" s="34"/>
      <c r="F41" s="34"/>
      <c r="G41" s="29"/>
    </row>
    <row r="42" spans="1:7" ht="15.75" hidden="1">
      <c r="A42" s="34" t="s">
        <v>55</v>
      </c>
      <c r="B42" s="34"/>
      <c r="C42" s="34"/>
      <c r="D42" s="34"/>
      <c r="E42" s="34"/>
      <c r="F42" s="34"/>
      <c r="G42" s="29"/>
    </row>
    <row r="43" spans="1:7" ht="15.75" hidden="1">
      <c r="A43" s="34" t="s">
        <v>56</v>
      </c>
      <c r="B43" s="34"/>
      <c r="C43" s="34"/>
      <c r="D43" s="34"/>
      <c r="E43" s="34"/>
      <c r="F43" s="34"/>
      <c r="G43" s="29"/>
    </row>
    <row r="44" spans="1:7" ht="15.75">
      <c r="A44" s="34" t="s">
        <v>57</v>
      </c>
      <c r="B44" s="34"/>
      <c r="C44" s="34"/>
      <c r="D44" s="34"/>
      <c r="E44" s="34"/>
      <c r="F44" s="34"/>
      <c r="G44" s="29">
        <v>670</v>
      </c>
    </row>
    <row r="45" spans="1:7" ht="15.75">
      <c r="A45" s="34" t="s">
        <v>58</v>
      </c>
      <c r="B45" s="34"/>
      <c r="C45" s="34"/>
      <c r="D45" s="34"/>
      <c r="E45" s="34"/>
      <c r="F45" s="34"/>
      <c r="G45" s="29">
        <v>1628</v>
      </c>
    </row>
    <row r="46" spans="1:7" ht="15.75">
      <c r="A46" s="34" t="s">
        <v>59</v>
      </c>
      <c r="B46" s="34"/>
      <c r="C46" s="34"/>
      <c r="D46" s="34"/>
      <c r="E46" s="34"/>
      <c r="F46" s="34"/>
      <c r="G46" s="29">
        <v>14840</v>
      </c>
    </row>
    <row r="47" spans="1:7" ht="15.75" hidden="1">
      <c r="A47" s="34" t="s">
        <v>60</v>
      </c>
      <c r="B47" s="34"/>
      <c r="C47" s="34"/>
      <c r="D47" s="34"/>
      <c r="E47" s="34"/>
      <c r="F47" s="34"/>
      <c r="G47" s="29"/>
    </row>
    <row r="48" spans="1:7" ht="15.75" hidden="1">
      <c r="A48" s="34" t="s">
        <v>61</v>
      </c>
      <c r="B48" s="34"/>
      <c r="C48" s="34"/>
      <c r="D48" s="34"/>
      <c r="E48" s="34"/>
      <c r="F48" s="34"/>
      <c r="G48" s="29"/>
    </row>
    <row r="49" spans="1:7" ht="15.75">
      <c r="A49" s="34" t="s">
        <v>62</v>
      </c>
      <c r="B49" s="34"/>
      <c r="C49" s="34"/>
      <c r="D49" s="34"/>
      <c r="E49" s="34"/>
      <c r="F49" s="34"/>
      <c r="G49" s="29">
        <v>52540</v>
      </c>
    </row>
    <row r="50" spans="1:7" ht="15.75">
      <c r="A50" s="34" t="s">
        <v>63</v>
      </c>
      <c r="B50" s="34"/>
      <c r="C50" s="34"/>
      <c r="D50" s="34"/>
      <c r="E50" s="34"/>
      <c r="F50" s="34"/>
      <c r="G50" s="29">
        <v>13410</v>
      </c>
    </row>
    <row r="51" spans="1:7" ht="15.75" hidden="1">
      <c r="A51" s="34" t="s">
        <v>64</v>
      </c>
      <c r="B51" s="34"/>
      <c r="C51" s="34"/>
      <c r="D51" s="34"/>
      <c r="E51" s="34"/>
      <c r="F51" s="34"/>
      <c r="G51" s="29"/>
    </row>
    <row r="52" spans="1:7" ht="15.75" hidden="1">
      <c r="A52" s="34" t="s">
        <v>65</v>
      </c>
      <c r="B52" s="34"/>
      <c r="C52" s="34"/>
      <c r="D52" s="34"/>
      <c r="E52" s="34"/>
      <c r="F52" s="34"/>
      <c r="G52" s="29"/>
    </row>
    <row r="53" spans="1:7" ht="15.75" customHeight="1">
      <c r="A53" s="33" t="s">
        <v>66</v>
      </c>
      <c r="B53" s="33"/>
      <c r="C53" s="33"/>
      <c r="D53" s="33"/>
      <c r="E53" s="33"/>
      <c r="F53" s="33"/>
      <c r="G53" s="32">
        <f>G39+G40+G41+G42+G43+G44+G45+G46+G47+G48+G49+G50+G51+G52</f>
        <v>83088</v>
      </c>
    </row>
    <row r="54" spans="1:7" ht="15.75" customHeight="1">
      <c r="A54" s="33" t="s">
        <v>67</v>
      </c>
      <c r="B54" s="33"/>
      <c r="C54" s="33"/>
      <c r="D54" s="33"/>
      <c r="E54" s="33"/>
      <c r="F54" s="33"/>
      <c r="G54" s="32">
        <f>G35+G53</f>
        <v>285621.69186020514</v>
      </c>
    </row>
    <row r="55" spans="1:7" ht="15.75">
      <c r="A55" s="28" t="s">
        <v>68</v>
      </c>
      <c r="B55" s="28"/>
      <c r="C55" s="28"/>
      <c r="D55" s="28"/>
      <c r="E55" s="28"/>
      <c r="F55" s="28"/>
      <c r="G55" s="29">
        <v>-4918.68</v>
      </c>
    </row>
    <row r="56" spans="1:7" ht="15.75">
      <c r="A56" s="41" t="s">
        <v>69</v>
      </c>
      <c r="B56" s="41"/>
      <c r="C56" s="41"/>
      <c r="D56" s="41"/>
      <c r="E56" s="41"/>
      <c r="F56" s="41"/>
      <c r="G56" s="29">
        <f>281.58*4+141.6*4+180*4</f>
        <v>2412.72</v>
      </c>
    </row>
    <row r="57" spans="1:7" ht="15.75" customHeight="1">
      <c r="A57" s="42" t="s">
        <v>70</v>
      </c>
      <c r="B57" s="42"/>
      <c r="C57" s="42"/>
      <c r="D57" s="42"/>
      <c r="E57" s="42"/>
      <c r="F57" s="42"/>
      <c r="G57" s="32">
        <f>B3*B5*4+G56</f>
        <v>218907.16</v>
      </c>
    </row>
    <row r="58" spans="1:7" ht="15.75" customHeight="1">
      <c r="A58" s="43" t="s">
        <v>71</v>
      </c>
      <c r="B58" s="43"/>
      <c r="C58" s="43"/>
      <c r="D58" s="43"/>
      <c r="E58" s="43"/>
      <c r="F58" s="43"/>
      <c r="G58" s="44">
        <v>16486.09</v>
      </c>
    </row>
    <row r="59" spans="1:7" ht="69" customHeight="1">
      <c r="A59" s="33" t="s">
        <v>82</v>
      </c>
      <c r="B59" s="33"/>
      <c r="C59" s="33"/>
      <c r="D59" s="33"/>
      <c r="E59" s="33"/>
      <c r="F59" s="33"/>
      <c r="G59" s="32">
        <f>G54-G57-G55+G58</f>
        <v>88119.30186020513</v>
      </c>
    </row>
  </sheetData>
  <sheetProtection selectLockedCells="1" selectUnlockedCells="1"/>
  <mergeCells count="48">
    <mergeCell ref="A1:G1"/>
    <mergeCell ref="B2:E2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0"/>
  </sheetPr>
  <dimension ref="A1:G59"/>
  <sheetViews>
    <sheetView zoomScale="75" zoomScaleNormal="75" workbookViewId="0" topLeftCell="A2">
      <pane ySplit="65535" topLeftCell="A2" activePane="topLeft" state="split"/>
      <selection pane="topLeft" activeCell="A60" activeCellId="1" sqref="A77:G138 A60"/>
      <selection pane="bottomLeft" activeCell="A2" sqref="A2"/>
    </sheetView>
  </sheetViews>
  <sheetFormatPr defaultColWidth="9.140625" defaultRowHeight="12.75"/>
  <cols>
    <col min="1" max="1" width="23.8515625" style="1" customWidth="1"/>
    <col min="2" max="2" width="11.57421875" style="1" customWidth="1"/>
    <col min="3" max="5" width="9.140625" style="1" customWidth="1"/>
    <col min="6" max="6" width="21.421875" style="1" customWidth="1"/>
    <col min="7" max="7" width="15.57421875" style="1" customWidth="1"/>
    <col min="8" max="16384" width="9.140625" style="1" customWidth="1"/>
  </cols>
  <sheetData>
    <row r="1" spans="1:7" ht="39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123</v>
      </c>
      <c r="C2" s="7"/>
      <c r="D2" s="7"/>
      <c r="E2" s="7"/>
      <c r="F2" s="8" t="s">
        <v>3</v>
      </c>
      <c r="G2" s="9">
        <v>9</v>
      </c>
    </row>
    <row r="3" spans="1:7" ht="18.75">
      <c r="A3" s="6" t="s">
        <v>4</v>
      </c>
      <c r="B3" s="10">
        <v>9540.73</v>
      </c>
      <c r="F3" s="8" t="s">
        <v>5</v>
      </c>
      <c r="G3" s="11">
        <v>4</v>
      </c>
    </row>
    <row r="4" spans="1:7" ht="18.75">
      <c r="A4" s="12" t="s">
        <v>6</v>
      </c>
      <c r="B4" s="13"/>
      <c r="F4" s="8" t="s">
        <v>8</v>
      </c>
      <c r="G4" s="9">
        <v>1976</v>
      </c>
    </row>
    <row r="5" spans="1:3" ht="16.5" customHeight="1">
      <c r="A5" s="12" t="s">
        <v>6</v>
      </c>
      <c r="B5" s="13">
        <v>15.08</v>
      </c>
      <c r="C5" s="1" t="s">
        <v>9</v>
      </c>
    </row>
    <row r="6" spans="1:7" ht="18.75" hidden="1">
      <c r="A6" s="14" t="s">
        <v>10</v>
      </c>
      <c r="B6" s="15">
        <v>1400.3</v>
      </c>
      <c r="C6" s="16"/>
      <c r="D6" s="16"/>
      <c r="E6" s="16"/>
      <c r="F6" s="16"/>
      <c r="G6" s="16"/>
    </row>
    <row r="7" spans="1:7" ht="18.75" hidden="1">
      <c r="A7" s="14" t="s">
        <v>12</v>
      </c>
      <c r="B7" s="17">
        <v>4.4</v>
      </c>
      <c r="C7" s="16" t="s">
        <v>78</v>
      </c>
      <c r="D7" s="16">
        <v>4</v>
      </c>
      <c r="E7" s="16"/>
      <c r="F7" s="16"/>
      <c r="G7" s="16"/>
    </row>
    <row r="8" spans="1:7" ht="38.25" customHeight="1" hidden="1">
      <c r="A8" s="18" t="s">
        <v>13</v>
      </c>
      <c r="B8" s="19" t="s">
        <v>14</v>
      </c>
      <c r="C8" s="19" t="s">
        <v>15</v>
      </c>
      <c r="D8" s="19" t="s">
        <v>16</v>
      </c>
      <c r="E8" s="19" t="s">
        <v>17</v>
      </c>
      <c r="F8" s="16"/>
      <c r="G8" s="16"/>
    </row>
    <row r="9" spans="1:7" ht="20.25" customHeight="1" hidden="1">
      <c r="A9" s="14"/>
      <c r="B9" s="17">
        <v>1337</v>
      </c>
      <c r="C9" s="17">
        <v>3133</v>
      </c>
      <c r="D9" s="17">
        <v>1052</v>
      </c>
      <c r="E9" s="17">
        <v>3418</v>
      </c>
      <c r="F9" s="16"/>
      <c r="G9" s="16"/>
    </row>
    <row r="10" spans="1:7" ht="18.75" hidden="1">
      <c r="A10" s="14" t="s">
        <v>18</v>
      </c>
      <c r="B10" s="20">
        <v>9540.73</v>
      </c>
      <c r="C10" s="16"/>
      <c r="D10" s="16"/>
      <c r="E10" s="16"/>
      <c r="F10" s="16"/>
      <c r="G10" s="16"/>
    </row>
    <row r="11" spans="1:7" ht="19.5" hidden="1">
      <c r="A11" s="14" t="s">
        <v>19</v>
      </c>
      <c r="B11" s="20">
        <v>1262.7</v>
      </c>
      <c r="C11" s="20">
        <v>901</v>
      </c>
      <c r="D11" s="20">
        <f>B11+C11</f>
        <v>2163.7</v>
      </c>
      <c r="E11" s="16"/>
      <c r="F11" s="16"/>
      <c r="G11" s="16"/>
    </row>
    <row r="12" spans="1:7" ht="50.25" customHeight="1" hidden="1">
      <c r="A12" s="14" t="s">
        <v>20</v>
      </c>
      <c r="B12" s="19" t="s">
        <v>21</v>
      </c>
      <c r="C12" s="21" t="s">
        <v>22</v>
      </c>
      <c r="D12" s="19" t="s">
        <v>23</v>
      </c>
      <c r="E12" s="22" t="s">
        <v>24</v>
      </c>
      <c r="F12" s="17" t="s">
        <v>25</v>
      </c>
      <c r="G12" s="16"/>
    </row>
    <row r="13" spans="1:7" ht="23.25" customHeight="1" hidden="1">
      <c r="A13" s="23"/>
      <c r="B13" s="24">
        <v>144</v>
      </c>
      <c r="C13" s="24">
        <v>144</v>
      </c>
      <c r="D13" s="24"/>
      <c r="E13" s="25">
        <f>D13+C13+B13</f>
        <v>288</v>
      </c>
      <c r="F13" s="17"/>
      <c r="G13" s="16"/>
    </row>
    <row r="14" spans="1:7" ht="18.75" customHeight="1">
      <c r="A14" s="26" t="s">
        <v>26</v>
      </c>
      <c r="B14" s="26"/>
      <c r="C14" s="26"/>
      <c r="D14" s="26"/>
      <c r="E14" s="26"/>
      <c r="F14" s="26"/>
      <c r="G14" s="27" t="s">
        <v>27</v>
      </c>
    </row>
    <row r="15" spans="1:7" ht="15.75">
      <c r="A15" s="28" t="s">
        <v>28</v>
      </c>
      <c r="B15" s="28"/>
      <c r="C15" s="28"/>
      <c r="D15" s="28"/>
      <c r="E15" s="28"/>
      <c r="F15" s="28"/>
      <c r="G15" s="29">
        <f>B6*8.689*4</f>
        <v>48668.826799999995</v>
      </c>
    </row>
    <row r="16" spans="1:7" ht="15.75">
      <c r="A16" s="28" t="s">
        <v>29</v>
      </c>
      <c r="B16" s="28"/>
      <c r="C16" s="28"/>
      <c r="D16" s="28"/>
      <c r="E16" s="28"/>
      <c r="F16" s="28"/>
      <c r="G16" s="29">
        <f>B7*19.029*4</f>
        <v>334.91040000000004</v>
      </c>
    </row>
    <row r="17" spans="1:7" ht="15.75">
      <c r="A17" s="28" t="s">
        <v>30</v>
      </c>
      <c r="B17" s="28"/>
      <c r="C17" s="28"/>
      <c r="D17" s="28"/>
      <c r="E17" s="28"/>
      <c r="F17" s="28"/>
      <c r="G17" s="29">
        <f>B10*0.4522*4</f>
        <v>17257.272424</v>
      </c>
    </row>
    <row r="18" spans="1:7" ht="15.75">
      <c r="A18" s="28" t="s">
        <v>31</v>
      </c>
      <c r="B18" s="28"/>
      <c r="C18" s="28"/>
      <c r="D18" s="28"/>
      <c r="E18" s="28"/>
      <c r="F18" s="28"/>
      <c r="G18" s="29">
        <f>(B9*12.84/100*64)+(C9*9.63/100*38)+(D9*32.11/100*26)+(E9*2.41/100*5)</f>
        <v>31646.4276</v>
      </c>
    </row>
    <row r="19" spans="1:7" ht="15.75" customHeight="1">
      <c r="A19" s="30" t="s">
        <v>32</v>
      </c>
      <c r="B19" s="30"/>
      <c r="C19" s="30"/>
      <c r="D19" s="30"/>
      <c r="E19" s="30"/>
      <c r="F19" s="30"/>
      <c r="G19" s="31">
        <f>574906.73/199064.79*B3</f>
        <v>27553.993280845392</v>
      </c>
    </row>
    <row r="20" spans="1:7" ht="15.75">
      <c r="A20" s="28" t="s">
        <v>33</v>
      </c>
      <c r="B20" s="28"/>
      <c r="C20" s="28"/>
      <c r="D20" s="28"/>
      <c r="E20" s="28"/>
      <c r="F20" s="28"/>
      <c r="G20" s="29">
        <f>D11*0.14*2</f>
        <v>605.836</v>
      </c>
    </row>
    <row r="21" spans="1:7" ht="15.75" hidden="1">
      <c r="A21" s="28" t="s">
        <v>34</v>
      </c>
      <c r="B21" s="28"/>
      <c r="C21" s="28"/>
      <c r="D21" s="28"/>
      <c r="E21" s="28"/>
      <c r="F21" s="28"/>
      <c r="G21" s="29">
        <v>0</v>
      </c>
    </row>
    <row r="22" spans="1:7" ht="15.75">
      <c r="A22" s="28" t="s">
        <v>35</v>
      </c>
      <c r="B22" s="28"/>
      <c r="C22" s="28"/>
      <c r="D22" s="28"/>
      <c r="E22" s="28"/>
      <c r="F22" s="28"/>
      <c r="G22" s="29">
        <f>B3*0.845*4</f>
        <v>32247.6674</v>
      </c>
    </row>
    <row r="23" spans="1:7" ht="15.75">
      <c r="A23" s="28" t="s">
        <v>36</v>
      </c>
      <c r="B23" s="28"/>
      <c r="C23" s="28"/>
      <c r="D23" s="28"/>
      <c r="E23" s="28"/>
      <c r="F23" s="28"/>
      <c r="G23" s="29">
        <f>B3*2.648*4</f>
        <v>101055.41216</v>
      </c>
    </row>
    <row r="24" spans="1:7" ht="15.75" hidden="1">
      <c r="A24" s="28" t="s">
        <v>37</v>
      </c>
      <c r="B24" s="28"/>
      <c r="C24" s="28"/>
      <c r="D24" s="28"/>
      <c r="E24" s="28"/>
      <c r="F24" s="28"/>
      <c r="G24" s="29">
        <v>0</v>
      </c>
    </row>
    <row r="25" spans="1:7" ht="15.75">
      <c r="A25" s="28" t="s">
        <v>38</v>
      </c>
      <c r="B25" s="28"/>
      <c r="C25" s="28"/>
      <c r="D25" s="28"/>
      <c r="E25" s="28"/>
      <c r="F25" s="28"/>
      <c r="G25" s="29">
        <f>403*4</f>
        <v>1612</v>
      </c>
    </row>
    <row r="26" spans="1:7" ht="15.75">
      <c r="A26" s="28" t="s">
        <v>39</v>
      </c>
      <c r="B26" s="28"/>
      <c r="C26" s="28"/>
      <c r="D26" s="28"/>
      <c r="E26" s="28"/>
      <c r="F26" s="28"/>
      <c r="G26" s="29">
        <f>8*251.46</f>
        <v>2011.68</v>
      </c>
    </row>
    <row r="27" spans="1:7" ht="15.75">
      <c r="A27" s="28" t="s">
        <v>40</v>
      </c>
      <c r="B27" s="28"/>
      <c r="C27" s="28"/>
      <c r="D27" s="28"/>
      <c r="E27" s="28"/>
      <c r="F27" s="28"/>
      <c r="G27" s="29">
        <f>1080.88+1080.88</f>
        <v>2161.76</v>
      </c>
    </row>
    <row r="28" spans="1:7" ht="15.75" hidden="1">
      <c r="A28" s="28" t="s">
        <v>41</v>
      </c>
      <c r="B28" s="28"/>
      <c r="C28" s="28"/>
      <c r="D28" s="28"/>
      <c r="E28" s="28"/>
      <c r="F28" s="28"/>
      <c r="G28" s="29">
        <v>0</v>
      </c>
    </row>
    <row r="29" spans="1:7" ht="15.75" hidden="1">
      <c r="A29" s="28" t="s">
        <v>42</v>
      </c>
      <c r="B29" s="28"/>
      <c r="C29" s="28"/>
      <c r="D29" s="28"/>
      <c r="E29" s="28"/>
      <c r="F29" s="28"/>
      <c r="G29" s="29">
        <v>0</v>
      </c>
    </row>
    <row r="30" spans="1:7" ht="15.75">
      <c r="A30" s="28" t="s">
        <v>43</v>
      </c>
      <c r="B30" s="28"/>
      <c r="C30" s="28"/>
      <c r="D30" s="28"/>
      <c r="E30" s="28"/>
      <c r="F30" s="28"/>
      <c r="G30" s="29">
        <f>B3*1.75*4</f>
        <v>66785.11</v>
      </c>
    </row>
    <row r="31" spans="1:7" ht="15.75" customHeight="1">
      <c r="A31" s="30" t="s">
        <v>44</v>
      </c>
      <c r="B31" s="30"/>
      <c r="C31" s="30"/>
      <c r="D31" s="30"/>
      <c r="E31" s="30"/>
      <c r="F31" s="30"/>
      <c r="G31" s="29">
        <f>(F13*4*8.57)+(B13*2*3.14)+(C13*1*3.14)+(D13*1*3.14)</f>
        <v>1356.48</v>
      </c>
    </row>
    <row r="32" spans="1:7" ht="15.75">
      <c r="A32" s="28" t="s">
        <v>45</v>
      </c>
      <c r="B32" s="28"/>
      <c r="C32" s="28"/>
      <c r="D32" s="28"/>
      <c r="E32" s="28"/>
      <c r="F32" s="28"/>
      <c r="G32" s="29">
        <f>B3*0.65*4</f>
        <v>24805.898</v>
      </c>
    </row>
    <row r="33" spans="1:7" ht="15.75">
      <c r="A33" s="28" t="s">
        <v>46</v>
      </c>
      <c r="B33" s="28"/>
      <c r="C33" s="28"/>
      <c r="D33" s="28"/>
      <c r="E33" s="28"/>
      <c r="F33" s="28"/>
      <c r="G33" s="29">
        <f>B3*0.2*4</f>
        <v>7632.584</v>
      </c>
    </row>
    <row r="34" spans="1:7" ht="15.75">
      <c r="A34" s="28" t="s">
        <v>47</v>
      </c>
      <c r="B34" s="28"/>
      <c r="C34" s="28"/>
      <c r="D34" s="28"/>
      <c r="E34" s="28"/>
      <c r="F34" s="28"/>
      <c r="G34" s="29">
        <f>B3*0.7*4</f>
        <v>26714.043999999998</v>
      </c>
    </row>
    <row r="35" spans="1:7" ht="15.75">
      <c r="A35" s="26" t="s">
        <v>48</v>
      </c>
      <c r="B35" s="26"/>
      <c r="C35" s="26"/>
      <c r="D35" s="26"/>
      <c r="E35" s="26"/>
      <c r="F35" s="26"/>
      <c r="G35" s="32">
        <f>G15+G16+G17+G18+G19+G20+G21+G22+G23+G24+G26+G30+G31+G32+G33+G34+G27+G28+G29+G25</f>
        <v>392449.9020648453</v>
      </c>
    </row>
    <row r="36" spans="1:7" ht="20.25" customHeight="1">
      <c r="A36" s="33" t="s">
        <v>49</v>
      </c>
      <c r="B36" s="33"/>
      <c r="C36" s="33"/>
      <c r="D36" s="33"/>
      <c r="E36" s="33"/>
      <c r="F36" s="33"/>
      <c r="G36" s="29"/>
    </row>
    <row r="37" spans="1:7" ht="15.75" hidden="1">
      <c r="A37" s="28" t="s">
        <v>50</v>
      </c>
      <c r="B37" s="28"/>
      <c r="C37" s="28"/>
      <c r="D37" s="28"/>
      <c r="E37" s="28"/>
      <c r="F37" s="28"/>
      <c r="G37" s="29">
        <f>B3*3.47*12</f>
        <v>397275.99720000004</v>
      </c>
    </row>
    <row r="38" spans="1:7" ht="15.75">
      <c r="A38" s="28" t="s">
        <v>51</v>
      </c>
      <c r="B38" s="28"/>
      <c r="C38" s="28"/>
      <c r="D38" s="28"/>
      <c r="E38" s="28"/>
      <c r="F38" s="28"/>
      <c r="G38" s="29"/>
    </row>
    <row r="39" spans="1:7" ht="15.75" hidden="1">
      <c r="A39" s="34" t="s">
        <v>52</v>
      </c>
      <c r="B39" s="34"/>
      <c r="C39" s="34"/>
      <c r="D39" s="34"/>
      <c r="E39" s="34"/>
      <c r="F39" s="34"/>
      <c r="G39" s="29"/>
    </row>
    <row r="40" spans="1:7" ht="15.75">
      <c r="A40" s="34" t="s">
        <v>53</v>
      </c>
      <c r="B40" s="34"/>
      <c r="C40" s="34"/>
      <c r="D40" s="34"/>
      <c r="E40" s="34"/>
      <c r="F40" s="34"/>
      <c r="G40" s="29">
        <v>520</v>
      </c>
    </row>
    <row r="41" spans="1:7" ht="15.75" hidden="1">
      <c r="A41" s="34" t="s">
        <v>54</v>
      </c>
      <c r="B41" s="34"/>
      <c r="C41" s="34"/>
      <c r="D41" s="34"/>
      <c r="E41" s="34"/>
      <c r="F41" s="34"/>
      <c r="G41" s="29"/>
    </row>
    <row r="42" spans="1:7" ht="15.75" hidden="1">
      <c r="A42" s="34" t="s">
        <v>55</v>
      </c>
      <c r="B42" s="34"/>
      <c r="C42" s="34"/>
      <c r="D42" s="34"/>
      <c r="E42" s="34"/>
      <c r="F42" s="34"/>
      <c r="G42" s="29"/>
    </row>
    <row r="43" spans="1:7" ht="15.75">
      <c r="A43" s="34" t="s">
        <v>56</v>
      </c>
      <c r="B43" s="34"/>
      <c r="C43" s="34"/>
      <c r="D43" s="34"/>
      <c r="E43" s="34"/>
      <c r="F43" s="34"/>
      <c r="G43" s="29">
        <v>117780</v>
      </c>
    </row>
    <row r="44" spans="1:7" ht="15.75" hidden="1">
      <c r="A44" s="34" t="s">
        <v>57</v>
      </c>
      <c r="B44" s="34"/>
      <c r="C44" s="34"/>
      <c r="D44" s="34"/>
      <c r="E44" s="34"/>
      <c r="F44" s="34"/>
      <c r="G44" s="29"/>
    </row>
    <row r="45" spans="1:7" ht="15.75">
      <c r="A45" s="34" t="s">
        <v>58</v>
      </c>
      <c r="B45" s="34"/>
      <c r="C45" s="34"/>
      <c r="D45" s="34"/>
      <c r="E45" s="34"/>
      <c r="F45" s="34"/>
      <c r="G45" s="29">
        <v>5387</v>
      </c>
    </row>
    <row r="46" spans="1:7" ht="15.75">
      <c r="A46" s="34" t="s">
        <v>59</v>
      </c>
      <c r="B46" s="34"/>
      <c r="C46" s="34"/>
      <c r="D46" s="34"/>
      <c r="E46" s="34"/>
      <c r="F46" s="34"/>
      <c r="G46" s="29">
        <v>7380</v>
      </c>
    </row>
    <row r="47" spans="1:7" ht="15.75" hidden="1">
      <c r="A47" s="34" t="s">
        <v>60</v>
      </c>
      <c r="B47" s="34"/>
      <c r="C47" s="34"/>
      <c r="D47" s="34"/>
      <c r="E47" s="34"/>
      <c r="F47" s="34"/>
      <c r="G47" s="29"/>
    </row>
    <row r="48" spans="1:7" ht="15.75" hidden="1">
      <c r="A48" s="34" t="s">
        <v>61</v>
      </c>
      <c r="B48" s="34"/>
      <c r="C48" s="34"/>
      <c r="D48" s="34"/>
      <c r="E48" s="34"/>
      <c r="F48" s="34"/>
      <c r="G48" s="29"/>
    </row>
    <row r="49" spans="1:7" ht="15.75">
      <c r="A49" s="34" t="s">
        <v>62</v>
      </c>
      <c r="B49" s="34"/>
      <c r="C49" s="34"/>
      <c r="D49" s="34"/>
      <c r="E49" s="34"/>
      <c r="F49" s="34"/>
      <c r="G49" s="29">
        <v>154280</v>
      </c>
    </row>
    <row r="50" spans="1:7" ht="15.75">
      <c r="A50" s="34" t="s">
        <v>63</v>
      </c>
      <c r="B50" s="34"/>
      <c r="C50" s="34"/>
      <c r="D50" s="34"/>
      <c r="E50" s="34"/>
      <c r="F50" s="34"/>
      <c r="G50" s="29">
        <v>18970</v>
      </c>
    </row>
    <row r="51" spans="1:7" ht="15.75" hidden="1">
      <c r="A51" s="34" t="s">
        <v>64</v>
      </c>
      <c r="B51" s="34"/>
      <c r="C51" s="34"/>
      <c r="D51" s="34"/>
      <c r="E51" s="34"/>
      <c r="F51" s="34"/>
      <c r="G51" s="29"/>
    </row>
    <row r="52" spans="1:7" ht="15.75" hidden="1">
      <c r="A52" s="34" t="s">
        <v>65</v>
      </c>
      <c r="B52" s="34"/>
      <c r="C52" s="34"/>
      <c r="D52" s="34"/>
      <c r="E52" s="34"/>
      <c r="F52" s="34"/>
      <c r="G52" s="29"/>
    </row>
    <row r="53" spans="1:7" ht="15.75" customHeight="1">
      <c r="A53" s="33" t="s">
        <v>66</v>
      </c>
      <c r="B53" s="33"/>
      <c r="C53" s="33"/>
      <c r="D53" s="33"/>
      <c r="E53" s="33"/>
      <c r="F53" s="33"/>
      <c r="G53" s="32">
        <f>G39+G40+G41+G42+G43+G44+G45+G46+G47+G48+G49+G50+G51+G52</f>
        <v>304317</v>
      </c>
    </row>
    <row r="54" spans="1:7" ht="15.75" customHeight="1">
      <c r="A54" s="33" t="s">
        <v>67</v>
      </c>
      <c r="B54" s="33"/>
      <c r="C54" s="33"/>
      <c r="D54" s="33"/>
      <c r="E54" s="33"/>
      <c r="F54" s="33"/>
      <c r="G54" s="32">
        <f>G35+G53</f>
        <v>696766.9020648453</v>
      </c>
    </row>
    <row r="55" spans="1:7" ht="15.75" hidden="1">
      <c r="A55" s="28" t="s">
        <v>68</v>
      </c>
      <c r="B55" s="28"/>
      <c r="C55" s="28"/>
      <c r="D55" s="28"/>
      <c r="E55" s="28"/>
      <c r="F55" s="28"/>
      <c r="G55" s="29">
        <v>0</v>
      </c>
    </row>
    <row r="56" spans="1:7" ht="15.75">
      <c r="A56" s="41" t="s">
        <v>69</v>
      </c>
      <c r="B56" s="41"/>
      <c r="C56" s="41"/>
      <c r="D56" s="41"/>
      <c r="E56" s="41"/>
      <c r="F56" s="41"/>
      <c r="G56" s="29">
        <f>2*281.58*4+2*141.6*4+180*4</f>
        <v>4105.44</v>
      </c>
    </row>
    <row r="57" spans="1:7" ht="15.75" customHeight="1">
      <c r="A57" s="42" t="s">
        <v>70</v>
      </c>
      <c r="B57" s="42"/>
      <c r="C57" s="42"/>
      <c r="D57" s="42"/>
      <c r="E57" s="42"/>
      <c r="F57" s="42"/>
      <c r="G57" s="32">
        <f>B3*B5*4+G56</f>
        <v>579602.2736</v>
      </c>
    </row>
    <row r="58" spans="1:7" ht="15.75" customHeight="1">
      <c r="A58" s="43" t="s">
        <v>71</v>
      </c>
      <c r="B58" s="43"/>
      <c r="C58" s="43"/>
      <c r="D58" s="43"/>
      <c r="E58" s="43"/>
      <c r="F58" s="43"/>
      <c r="G58" s="44">
        <v>46069.88</v>
      </c>
    </row>
    <row r="59" spans="1:7" ht="74.25" customHeight="1">
      <c r="A59" s="33" t="s">
        <v>124</v>
      </c>
      <c r="B59" s="33"/>
      <c r="C59" s="33"/>
      <c r="D59" s="33"/>
      <c r="E59" s="33"/>
      <c r="F59" s="33"/>
      <c r="G59" s="32">
        <f>G54-G57-G55+G58</f>
        <v>163234.50846484536</v>
      </c>
    </row>
  </sheetData>
  <sheetProtection selectLockedCells="1" selectUnlockedCells="1"/>
  <mergeCells count="48">
    <mergeCell ref="A1:G1"/>
    <mergeCell ref="B2:E2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0"/>
  </sheetPr>
  <dimension ref="A1:G60"/>
  <sheetViews>
    <sheetView zoomScale="75" zoomScaleNormal="75" workbookViewId="0" topLeftCell="A1">
      <pane ySplit="65535" topLeftCell="A1" activePane="topLeft" state="split"/>
      <selection pane="topLeft" activeCell="G59" activeCellId="1" sqref="A77:G138 G59"/>
      <selection pane="bottomLeft" activeCell="A1" sqref="A1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4" width="9.140625" style="1" customWidth="1"/>
    <col min="5" max="5" width="8.00390625" style="1" customWidth="1"/>
    <col min="6" max="6" width="21.421875" style="1" customWidth="1"/>
    <col min="7" max="7" width="14.8515625" style="1" customWidth="1"/>
    <col min="8" max="16384" width="9.140625" style="1" customWidth="1"/>
  </cols>
  <sheetData>
    <row r="1" spans="1:7" ht="40.5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73</v>
      </c>
      <c r="B2" s="7" t="s">
        <v>125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75</v>
      </c>
      <c r="B3" s="10">
        <v>2717</v>
      </c>
      <c r="F3" s="8" t="s">
        <v>5</v>
      </c>
      <c r="G3" s="11">
        <v>4</v>
      </c>
    </row>
    <row r="4" spans="1:7" ht="18.75">
      <c r="A4" s="12" t="s">
        <v>76</v>
      </c>
      <c r="B4" s="13">
        <v>9.49</v>
      </c>
      <c r="C4" s="1" t="s">
        <v>9</v>
      </c>
      <c r="F4" s="8" t="s">
        <v>8</v>
      </c>
      <c r="G4" s="9">
        <v>1968</v>
      </c>
    </row>
    <row r="5" spans="1:3" ht="16.5" customHeight="1">
      <c r="A5" s="12" t="s">
        <v>76</v>
      </c>
      <c r="B5" s="13">
        <v>8.15</v>
      </c>
      <c r="C5" s="1" t="s">
        <v>7</v>
      </c>
    </row>
    <row r="6" spans="1:7" ht="18.75" hidden="1">
      <c r="A6" s="14" t="s">
        <v>10</v>
      </c>
      <c r="B6" s="15">
        <v>210</v>
      </c>
      <c r="C6" s="16"/>
      <c r="D6" s="16"/>
      <c r="E6" s="16"/>
      <c r="F6" s="16"/>
      <c r="G6" s="16"/>
    </row>
    <row r="7" spans="1:7" ht="18.75" hidden="1">
      <c r="A7" s="14" t="s">
        <v>10</v>
      </c>
      <c r="B7" s="15">
        <v>70</v>
      </c>
      <c r="C7" s="16" t="s">
        <v>126</v>
      </c>
      <c r="D7" s="16"/>
      <c r="E7" s="16"/>
      <c r="F7" s="16"/>
      <c r="G7" s="16"/>
    </row>
    <row r="8" spans="1:7" ht="18.75" hidden="1">
      <c r="A8" s="14" t="s">
        <v>12</v>
      </c>
      <c r="B8" s="17">
        <v>0</v>
      </c>
      <c r="C8" s="16"/>
      <c r="D8" s="16"/>
      <c r="E8" s="16"/>
      <c r="F8" s="16"/>
      <c r="G8" s="16"/>
    </row>
    <row r="9" spans="1:7" ht="38.25" customHeight="1" hidden="1">
      <c r="A9" s="18" t="s">
        <v>13</v>
      </c>
      <c r="B9" s="19" t="s">
        <v>14</v>
      </c>
      <c r="C9" s="19" t="s">
        <v>15</v>
      </c>
      <c r="D9" s="19" t="s">
        <v>16</v>
      </c>
      <c r="E9" s="19" t="s">
        <v>17</v>
      </c>
      <c r="F9" s="16"/>
      <c r="G9" s="16"/>
    </row>
    <row r="10" spans="1:7" ht="20.25" customHeight="1" hidden="1">
      <c r="A10" s="14"/>
      <c r="B10" s="17">
        <v>208</v>
      </c>
      <c r="C10" s="17">
        <v>1590</v>
      </c>
      <c r="D10" s="17">
        <v>208</v>
      </c>
      <c r="E10" s="17">
        <v>1590</v>
      </c>
      <c r="F10" s="16"/>
      <c r="G10" s="16"/>
    </row>
    <row r="11" spans="1:7" ht="18.75" hidden="1">
      <c r="A11" s="14" t="s">
        <v>18</v>
      </c>
      <c r="B11" s="20">
        <v>0</v>
      </c>
      <c r="C11" s="16"/>
      <c r="D11" s="16"/>
      <c r="E11" s="16"/>
      <c r="F11" s="16"/>
      <c r="G11" s="16"/>
    </row>
    <row r="12" spans="1:7" ht="19.5" hidden="1">
      <c r="A12" s="14" t="s">
        <v>19</v>
      </c>
      <c r="B12" s="20">
        <v>694</v>
      </c>
      <c r="C12" s="20">
        <v>543.4</v>
      </c>
      <c r="D12" s="20">
        <f>B12+C12</f>
        <v>1237.4</v>
      </c>
      <c r="E12" s="16"/>
      <c r="F12" s="16"/>
      <c r="G12" s="16"/>
    </row>
    <row r="13" spans="1:7" ht="50.25" customHeight="1" hidden="1">
      <c r="A13" s="14" t="s">
        <v>20</v>
      </c>
      <c r="B13" s="19" t="s">
        <v>21</v>
      </c>
      <c r="C13" s="21" t="s">
        <v>22</v>
      </c>
      <c r="D13" s="19" t="s">
        <v>23</v>
      </c>
      <c r="E13" s="22" t="s">
        <v>24</v>
      </c>
      <c r="F13" s="17" t="s">
        <v>25</v>
      </c>
      <c r="G13" s="16"/>
    </row>
    <row r="14" spans="1:7" ht="23.25" customHeight="1" hidden="1">
      <c r="A14" s="23"/>
      <c r="B14" s="24">
        <v>60</v>
      </c>
      <c r="C14" s="24">
        <v>60</v>
      </c>
      <c r="D14" s="24"/>
      <c r="E14" s="25">
        <f>D14+C14+B14</f>
        <v>120</v>
      </c>
      <c r="F14" s="17"/>
      <c r="G14" s="16"/>
    </row>
    <row r="15" spans="1:7" ht="18.75" customHeight="1">
      <c r="A15" s="26" t="s">
        <v>26</v>
      </c>
      <c r="B15" s="26"/>
      <c r="C15" s="26"/>
      <c r="D15" s="26"/>
      <c r="E15" s="26"/>
      <c r="F15" s="26"/>
      <c r="G15" s="27" t="s">
        <v>27</v>
      </c>
    </row>
    <row r="16" spans="1:7" ht="15.75">
      <c r="A16" s="28" t="s">
        <v>28</v>
      </c>
      <c r="B16" s="28"/>
      <c r="C16" s="28"/>
      <c r="D16" s="28"/>
      <c r="E16" s="28"/>
      <c r="F16" s="28"/>
      <c r="G16" s="29">
        <f>B6*7.012*4</f>
        <v>5890.08</v>
      </c>
    </row>
    <row r="17" spans="1:7" ht="15.75" hidden="1">
      <c r="A17" s="28" t="s">
        <v>29</v>
      </c>
      <c r="B17" s="28"/>
      <c r="C17" s="28"/>
      <c r="D17" s="28"/>
      <c r="E17" s="28"/>
      <c r="F17" s="28"/>
      <c r="G17" s="29">
        <f>B8*35.705*12</f>
        <v>0</v>
      </c>
    </row>
    <row r="18" spans="1:7" ht="15.75" hidden="1">
      <c r="A18" s="28" t="s">
        <v>30</v>
      </c>
      <c r="B18" s="28"/>
      <c r="C18" s="28"/>
      <c r="D18" s="28"/>
      <c r="E18" s="28"/>
      <c r="F18" s="28"/>
      <c r="G18" s="29">
        <f>B11*0.3613*12</f>
        <v>0</v>
      </c>
    </row>
    <row r="19" spans="1:7" ht="15.75" customHeight="1">
      <c r="A19" s="28" t="s">
        <v>31</v>
      </c>
      <c r="B19" s="28"/>
      <c r="C19" s="28"/>
      <c r="D19" s="28"/>
      <c r="E19" s="28"/>
      <c r="F19" s="28"/>
      <c r="G19" s="29">
        <f>(B10*9.46/100*64)+(C10*7.09/100*38)+(D10*23.66/100*26)+(E10*1.77/100*5)</f>
        <v>6963.341</v>
      </c>
    </row>
    <row r="20" spans="1:7" ht="15.75" customHeight="1">
      <c r="A20" s="30" t="s">
        <v>32</v>
      </c>
      <c r="B20" s="30"/>
      <c r="C20" s="30"/>
      <c r="D20" s="30"/>
      <c r="E20" s="30"/>
      <c r="F20" s="30"/>
      <c r="G20" s="31">
        <f>574906.73/199064.79*B3</f>
        <v>7846.799955984179</v>
      </c>
    </row>
    <row r="21" spans="1:7" ht="15.75">
      <c r="A21" s="28" t="s">
        <v>33</v>
      </c>
      <c r="B21" s="28"/>
      <c r="C21" s="28"/>
      <c r="D21" s="28"/>
      <c r="E21" s="28"/>
      <c r="F21" s="28"/>
      <c r="G21" s="29">
        <f>D12*0.14*2</f>
        <v>346.47200000000004</v>
      </c>
    </row>
    <row r="22" spans="1:7" ht="15.75">
      <c r="A22" s="28" t="s">
        <v>34</v>
      </c>
      <c r="B22" s="28"/>
      <c r="C22" s="28"/>
      <c r="D22" s="28"/>
      <c r="E22" s="28"/>
      <c r="F22" s="28"/>
      <c r="G22" s="29">
        <f>95.95+3058.56+1055.39+3310.04</f>
        <v>7519.94</v>
      </c>
    </row>
    <row r="23" spans="1:7" ht="15.75">
      <c r="A23" s="28" t="s">
        <v>35</v>
      </c>
      <c r="B23" s="28"/>
      <c r="C23" s="28"/>
      <c r="D23" s="28"/>
      <c r="E23" s="28"/>
      <c r="F23" s="28"/>
      <c r="G23" s="29">
        <f>B3*0.845*4</f>
        <v>9183.46</v>
      </c>
    </row>
    <row r="24" spans="1:7" ht="15.75" hidden="1">
      <c r="A24" s="28" t="s">
        <v>36</v>
      </c>
      <c r="B24" s="28"/>
      <c r="C24" s="28"/>
      <c r="D24" s="28"/>
      <c r="E24" s="28"/>
      <c r="F24" s="28"/>
      <c r="G24" s="29">
        <v>0</v>
      </c>
    </row>
    <row r="25" spans="1:7" ht="15.75" hidden="1">
      <c r="A25" s="28" t="s">
        <v>37</v>
      </c>
      <c r="B25" s="28"/>
      <c r="C25" s="28"/>
      <c r="D25" s="28"/>
      <c r="E25" s="28"/>
      <c r="F25" s="28"/>
      <c r="G25" s="29">
        <v>0</v>
      </c>
    </row>
    <row r="26" spans="1:7" ht="15.75" hidden="1">
      <c r="A26" s="28" t="s">
        <v>38</v>
      </c>
      <c r="B26" s="28"/>
      <c r="C26" s="28"/>
      <c r="D26" s="28"/>
      <c r="E26" s="28"/>
      <c r="F26" s="28"/>
      <c r="G26" s="29">
        <v>0</v>
      </c>
    </row>
    <row r="27" spans="1:7" ht="15.75">
      <c r="A27" s="28" t="s">
        <v>39</v>
      </c>
      <c r="B27" s="28"/>
      <c r="C27" s="28"/>
      <c r="D27" s="28"/>
      <c r="E27" s="28"/>
      <c r="F27" s="28"/>
      <c r="G27" s="29">
        <f>4*352+4*251.46</f>
        <v>2413.84</v>
      </c>
    </row>
    <row r="28" spans="1:7" ht="15.75" hidden="1">
      <c r="A28" s="28" t="s">
        <v>40</v>
      </c>
      <c r="B28" s="28"/>
      <c r="C28" s="28"/>
      <c r="D28" s="28"/>
      <c r="E28" s="28"/>
      <c r="F28" s="28"/>
      <c r="G28" s="29">
        <v>0</v>
      </c>
    </row>
    <row r="29" spans="1:7" ht="15.75" hidden="1">
      <c r="A29" s="28" t="s">
        <v>41</v>
      </c>
      <c r="B29" s="28"/>
      <c r="C29" s="28"/>
      <c r="D29" s="28"/>
      <c r="E29" s="28"/>
      <c r="F29" s="28"/>
      <c r="G29" s="29">
        <v>0</v>
      </c>
    </row>
    <row r="30" spans="1:7" ht="15.75" hidden="1">
      <c r="A30" s="28" t="s">
        <v>42</v>
      </c>
      <c r="B30" s="28"/>
      <c r="C30" s="28"/>
      <c r="D30" s="28"/>
      <c r="E30" s="28"/>
      <c r="F30" s="28"/>
      <c r="G30" s="29">
        <v>0</v>
      </c>
    </row>
    <row r="31" spans="1:7" ht="15.75" customHeight="1">
      <c r="A31" s="28" t="s">
        <v>43</v>
      </c>
      <c r="B31" s="28"/>
      <c r="C31" s="28"/>
      <c r="D31" s="28"/>
      <c r="E31" s="28"/>
      <c r="F31" s="28"/>
      <c r="G31" s="29">
        <f>B3*1.75*4</f>
        <v>19019</v>
      </c>
    </row>
    <row r="32" spans="1:7" ht="15.75" customHeight="1">
      <c r="A32" s="30" t="s">
        <v>44</v>
      </c>
      <c r="B32" s="30"/>
      <c r="C32" s="30"/>
      <c r="D32" s="30"/>
      <c r="E32" s="30"/>
      <c r="F32" s="30"/>
      <c r="G32" s="29">
        <f>(F14*4*8.57)+(B14*2*3.14)+(C14*1*3.14)+(D14*1*3.14)</f>
        <v>565.2</v>
      </c>
    </row>
    <row r="33" spans="1:7" ht="15.75">
      <c r="A33" s="28" t="s">
        <v>45</v>
      </c>
      <c r="B33" s="28"/>
      <c r="C33" s="28"/>
      <c r="D33" s="28"/>
      <c r="E33" s="28"/>
      <c r="F33" s="28"/>
      <c r="G33" s="29">
        <f>B3*0.65*4</f>
        <v>7064.2</v>
      </c>
    </row>
    <row r="34" spans="1:7" ht="15.75">
      <c r="A34" s="28" t="s">
        <v>46</v>
      </c>
      <c r="B34" s="28"/>
      <c r="C34" s="28"/>
      <c r="D34" s="28"/>
      <c r="E34" s="28"/>
      <c r="F34" s="28"/>
      <c r="G34" s="29">
        <f>B3*0.2*4</f>
        <v>2173.6</v>
      </c>
    </row>
    <row r="35" spans="1:7" ht="15.75">
      <c r="A35" s="28" t="s">
        <v>47</v>
      </c>
      <c r="B35" s="28"/>
      <c r="C35" s="28"/>
      <c r="D35" s="28"/>
      <c r="E35" s="28"/>
      <c r="F35" s="28"/>
      <c r="G35" s="29">
        <f>B3*0.7*4</f>
        <v>7607.599999999999</v>
      </c>
    </row>
    <row r="36" spans="1:7" ht="15.75" customHeight="1">
      <c r="A36" s="26" t="s">
        <v>48</v>
      </c>
      <c r="B36" s="26"/>
      <c r="C36" s="26"/>
      <c r="D36" s="26"/>
      <c r="E36" s="26"/>
      <c r="F36" s="26"/>
      <c r="G36" s="32">
        <f>G16+G17+G18+G19+G20+G21+G22+G23+G24+G25+G27+G31+G32+G33+G34+G35+G28+G29+G30+G26</f>
        <v>76593.53295598418</v>
      </c>
    </row>
    <row r="37" spans="1:7" ht="20.25" customHeight="1">
      <c r="A37" s="33" t="s">
        <v>49</v>
      </c>
      <c r="B37" s="33"/>
      <c r="C37" s="33"/>
      <c r="D37" s="33"/>
      <c r="E37" s="33"/>
      <c r="F37" s="33"/>
      <c r="G37" s="29"/>
    </row>
    <row r="38" spans="1:7" ht="15.75" hidden="1">
      <c r="A38" s="28" t="s">
        <v>50</v>
      </c>
      <c r="B38" s="28"/>
      <c r="C38" s="28"/>
      <c r="D38" s="28"/>
      <c r="E38" s="28"/>
      <c r="F38" s="28"/>
      <c r="G38" s="29">
        <f>B3*2.96*12</f>
        <v>96507.84</v>
      </c>
    </row>
    <row r="39" spans="1:7" ht="15.75">
      <c r="A39" s="28" t="s">
        <v>51</v>
      </c>
      <c r="B39" s="28"/>
      <c r="C39" s="28"/>
      <c r="D39" s="28"/>
      <c r="E39" s="28"/>
      <c r="F39" s="28"/>
      <c r="G39" s="29"/>
    </row>
    <row r="40" spans="1:7" ht="15.75" hidden="1">
      <c r="A40" s="34" t="s">
        <v>52</v>
      </c>
      <c r="B40" s="34"/>
      <c r="C40" s="34"/>
      <c r="D40" s="34"/>
      <c r="E40" s="34"/>
      <c r="F40" s="34"/>
      <c r="G40" s="29"/>
    </row>
    <row r="41" spans="1:7" ht="15.75" hidden="1">
      <c r="A41" s="34" t="s">
        <v>53</v>
      </c>
      <c r="B41" s="34"/>
      <c r="C41" s="34"/>
      <c r="D41" s="34"/>
      <c r="E41" s="34"/>
      <c r="F41" s="34"/>
      <c r="G41" s="29"/>
    </row>
    <row r="42" spans="1:7" ht="15.75" hidden="1">
      <c r="A42" s="34" t="s">
        <v>54</v>
      </c>
      <c r="B42" s="34"/>
      <c r="C42" s="34"/>
      <c r="D42" s="34"/>
      <c r="E42" s="34"/>
      <c r="F42" s="34"/>
      <c r="G42" s="29"/>
    </row>
    <row r="43" spans="1:7" ht="15.75" hidden="1">
      <c r="A43" s="34" t="s">
        <v>55</v>
      </c>
      <c r="B43" s="34"/>
      <c r="C43" s="34"/>
      <c r="D43" s="34"/>
      <c r="E43" s="34"/>
      <c r="F43" s="34"/>
      <c r="G43" s="29"/>
    </row>
    <row r="44" spans="1:7" ht="15.75" hidden="1">
      <c r="A44" s="34" t="s">
        <v>56</v>
      </c>
      <c r="B44" s="34"/>
      <c r="C44" s="34"/>
      <c r="D44" s="34"/>
      <c r="E44" s="34"/>
      <c r="F44" s="34"/>
      <c r="G44" s="29"/>
    </row>
    <row r="45" spans="1:7" ht="15.75" hidden="1">
      <c r="A45" s="34" t="s">
        <v>57</v>
      </c>
      <c r="B45" s="34"/>
      <c r="C45" s="34"/>
      <c r="D45" s="34"/>
      <c r="E45" s="34"/>
      <c r="F45" s="34"/>
      <c r="G45" s="29"/>
    </row>
    <row r="46" spans="1:7" ht="15.75">
      <c r="A46" s="34" t="s">
        <v>58</v>
      </c>
      <c r="B46" s="34"/>
      <c r="C46" s="34"/>
      <c r="D46" s="34"/>
      <c r="E46" s="34"/>
      <c r="F46" s="34"/>
      <c r="G46" s="29">
        <v>958</v>
      </c>
    </row>
    <row r="47" spans="1:7" ht="15.75" hidden="1">
      <c r="A47" s="34" t="s">
        <v>59</v>
      </c>
      <c r="B47" s="34"/>
      <c r="C47" s="34"/>
      <c r="D47" s="34"/>
      <c r="E47" s="34"/>
      <c r="F47" s="34"/>
      <c r="G47" s="29"/>
    </row>
    <row r="48" spans="1:7" ht="15.75" hidden="1">
      <c r="A48" s="34" t="s">
        <v>60</v>
      </c>
      <c r="B48" s="34"/>
      <c r="C48" s="34"/>
      <c r="D48" s="34"/>
      <c r="E48" s="34"/>
      <c r="F48" s="34"/>
      <c r="G48" s="29"/>
    </row>
    <row r="49" spans="1:7" ht="15.75" hidden="1">
      <c r="A49" s="34" t="s">
        <v>61</v>
      </c>
      <c r="B49" s="34"/>
      <c r="C49" s="34"/>
      <c r="D49" s="34"/>
      <c r="E49" s="34"/>
      <c r="F49" s="34"/>
      <c r="G49" s="29"/>
    </row>
    <row r="50" spans="1:7" ht="15.75">
      <c r="A50" s="34" t="s">
        <v>62</v>
      </c>
      <c r="B50" s="34"/>
      <c r="C50" s="34"/>
      <c r="D50" s="34"/>
      <c r="E50" s="34"/>
      <c r="F50" s="34"/>
      <c r="G50" s="29">
        <v>102760</v>
      </c>
    </row>
    <row r="51" spans="1:7" ht="15.75">
      <c r="A51" s="34" t="s">
        <v>63</v>
      </c>
      <c r="B51" s="34"/>
      <c r="C51" s="34"/>
      <c r="D51" s="34"/>
      <c r="E51" s="34"/>
      <c r="F51" s="34"/>
      <c r="G51" s="29">
        <v>6750</v>
      </c>
    </row>
    <row r="52" spans="1:7" ht="15.75" hidden="1">
      <c r="A52" s="34" t="s">
        <v>64</v>
      </c>
      <c r="B52" s="34"/>
      <c r="C52" s="34"/>
      <c r="D52" s="34"/>
      <c r="E52" s="34"/>
      <c r="F52" s="34"/>
      <c r="G52" s="29"/>
    </row>
    <row r="53" spans="1:7" ht="15.75" customHeight="1" hidden="1">
      <c r="A53" s="34" t="s">
        <v>65</v>
      </c>
      <c r="B53" s="34"/>
      <c r="C53" s="34"/>
      <c r="D53" s="34"/>
      <c r="E53" s="34"/>
      <c r="F53" s="34"/>
      <c r="G53" s="29"/>
    </row>
    <row r="54" spans="1:7" ht="18.75" customHeight="1">
      <c r="A54" s="33" t="s">
        <v>66</v>
      </c>
      <c r="B54" s="33"/>
      <c r="C54" s="33"/>
      <c r="D54" s="33"/>
      <c r="E54" s="33"/>
      <c r="F54" s="33"/>
      <c r="G54" s="32">
        <f>G40+G41+G42+G43+G44+G45+G46+G47+G48+G49+G50+G51+G52+G53</f>
        <v>110468</v>
      </c>
    </row>
    <row r="55" spans="1:7" ht="21" customHeight="1">
      <c r="A55" s="33" t="s">
        <v>67</v>
      </c>
      <c r="B55" s="33"/>
      <c r="C55" s="33"/>
      <c r="D55" s="33"/>
      <c r="E55" s="33"/>
      <c r="F55" s="33"/>
      <c r="G55" s="32">
        <f>G36+G54</f>
        <v>187061.53295598418</v>
      </c>
    </row>
    <row r="56" spans="1:7" ht="15.75" hidden="1">
      <c r="A56" s="28" t="s">
        <v>68</v>
      </c>
      <c r="B56" s="28"/>
      <c r="C56" s="28"/>
      <c r="D56" s="28"/>
      <c r="E56" s="28"/>
      <c r="F56" s="28"/>
      <c r="G56" s="29">
        <v>0</v>
      </c>
    </row>
    <row r="57" spans="1:7" ht="15.75">
      <c r="A57" s="41" t="s">
        <v>69</v>
      </c>
      <c r="B57" s="41"/>
      <c r="C57" s="41"/>
      <c r="D57" s="41"/>
      <c r="E57" s="41"/>
      <c r="F57" s="41"/>
      <c r="G57" s="29">
        <f>281.58*4+141.6*4+180*4</f>
        <v>2412.72</v>
      </c>
    </row>
    <row r="58" spans="1:7" ht="15.75" customHeight="1">
      <c r="A58" s="42" t="s">
        <v>70</v>
      </c>
      <c r="B58" s="42"/>
      <c r="C58" s="42"/>
      <c r="D58" s="42"/>
      <c r="E58" s="42"/>
      <c r="F58" s="42"/>
      <c r="G58" s="32">
        <f>B3*B4*4+B3*B5*4+G57</f>
        <v>194124.24000000002</v>
      </c>
    </row>
    <row r="59" spans="1:7" ht="15.75" customHeight="1">
      <c r="A59" s="43" t="s">
        <v>71</v>
      </c>
      <c r="B59" s="43"/>
      <c r="C59" s="43"/>
      <c r="D59" s="43"/>
      <c r="E59" s="43"/>
      <c r="F59" s="43"/>
      <c r="G59" s="44">
        <v>13583.01</v>
      </c>
    </row>
    <row r="60" spans="1:7" ht="62.25" customHeight="1">
      <c r="A60" s="33" t="s">
        <v>80</v>
      </c>
      <c r="B60" s="33"/>
      <c r="C60" s="33"/>
      <c r="D60" s="33"/>
      <c r="E60" s="33"/>
      <c r="F60" s="33"/>
      <c r="G60" s="32">
        <f>G55-G58+G59-G56</f>
        <v>6520.302955984158</v>
      </c>
    </row>
  </sheetData>
  <sheetProtection selectLockedCells="1" selectUnlockedCells="1"/>
  <mergeCells count="48">
    <mergeCell ref="A1:G1"/>
    <mergeCell ref="B2:E2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0"/>
  </sheetPr>
  <dimension ref="A1:G59"/>
  <sheetViews>
    <sheetView zoomScale="75" zoomScaleNormal="75" workbookViewId="0" topLeftCell="A26">
      <pane ySplit="65535" topLeftCell="A26" activePane="topLeft" state="split"/>
      <selection pane="topLeft" activeCell="G58" activeCellId="1" sqref="A77:G138 G58"/>
      <selection pane="bottomLeft" activeCell="A26" sqref="A26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3.8515625" style="1" customWidth="1"/>
    <col min="8" max="16384" width="9.140625" style="1" customWidth="1"/>
  </cols>
  <sheetData>
    <row r="1" spans="1:7" ht="40.5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73</v>
      </c>
      <c r="B2" s="7" t="s">
        <v>127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75</v>
      </c>
      <c r="B3" s="10">
        <v>2140.4</v>
      </c>
      <c r="F3" s="8" t="s">
        <v>5</v>
      </c>
      <c r="G3" s="11">
        <v>3</v>
      </c>
    </row>
    <row r="4" spans="1:7" ht="18.75">
      <c r="A4" s="12" t="s">
        <v>76</v>
      </c>
      <c r="B4" s="13"/>
      <c r="F4" s="8" t="s">
        <v>8</v>
      </c>
      <c r="G4" s="9">
        <v>1972</v>
      </c>
    </row>
    <row r="5" spans="1:3" ht="16.5" customHeight="1">
      <c r="A5" s="12" t="s">
        <v>76</v>
      </c>
      <c r="B5" s="13">
        <v>9.49</v>
      </c>
      <c r="C5" s="1" t="s">
        <v>9</v>
      </c>
    </row>
    <row r="6" spans="1:7" ht="18.75" hidden="1">
      <c r="A6" s="14" t="s">
        <v>10</v>
      </c>
      <c r="B6" s="15">
        <v>207.6</v>
      </c>
      <c r="C6" s="16"/>
      <c r="D6" s="16"/>
      <c r="E6" s="16"/>
      <c r="F6" s="16"/>
      <c r="G6" s="16"/>
    </row>
    <row r="7" spans="1:7" ht="18.75" hidden="1">
      <c r="A7" s="14" t="s">
        <v>12</v>
      </c>
      <c r="B7" s="17">
        <v>0</v>
      </c>
      <c r="C7" s="16"/>
      <c r="D7" s="16"/>
      <c r="E7" s="16"/>
      <c r="F7" s="16"/>
      <c r="G7" s="16"/>
    </row>
    <row r="8" spans="1:7" ht="38.25" customHeight="1" hidden="1">
      <c r="A8" s="18" t="s">
        <v>13</v>
      </c>
      <c r="B8" s="19" t="s">
        <v>14</v>
      </c>
      <c r="C8" s="19" t="s">
        <v>15</v>
      </c>
      <c r="D8" s="19" t="s">
        <v>16</v>
      </c>
      <c r="E8" s="19" t="s">
        <v>17</v>
      </c>
      <c r="F8" s="16"/>
      <c r="G8" s="16"/>
    </row>
    <row r="9" spans="1:7" ht="20.25" customHeight="1" hidden="1">
      <c r="A9" s="14"/>
      <c r="B9" s="17">
        <v>346</v>
      </c>
      <c r="C9" s="17">
        <v>1361</v>
      </c>
      <c r="D9" s="17">
        <v>346</v>
      </c>
      <c r="E9" s="17">
        <v>1361</v>
      </c>
      <c r="F9" s="16"/>
      <c r="G9" s="16"/>
    </row>
    <row r="10" spans="1:7" ht="18.75" hidden="1">
      <c r="A10" s="14" t="s">
        <v>18</v>
      </c>
      <c r="B10" s="20">
        <v>0</v>
      </c>
      <c r="C10" s="16"/>
      <c r="D10" s="16"/>
      <c r="E10" s="16"/>
      <c r="F10" s="16"/>
      <c r="G10" s="16"/>
    </row>
    <row r="11" spans="1:7" ht="19.5" hidden="1">
      <c r="A11" s="14" t="s">
        <v>19</v>
      </c>
      <c r="B11" s="20">
        <v>803</v>
      </c>
      <c r="C11" s="20">
        <v>428.1</v>
      </c>
      <c r="D11" s="20">
        <f>B11+C11</f>
        <v>1231.1</v>
      </c>
      <c r="E11" s="16"/>
      <c r="F11" s="16"/>
      <c r="G11" s="16"/>
    </row>
    <row r="12" spans="1:7" ht="50.25" customHeight="1" hidden="1">
      <c r="A12" s="14" t="s">
        <v>20</v>
      </c>
      <c r="B12" s="19" t="s">
        <v>21</v>
      </c>
      <c r="C12" s="21" t="s">
        <v>22</v>
      </c>
      <c r="D12" s="19" t="s">
        <v>23</v>
      </c>
      <c r="E12" s="22" t="s">
        <v>24</v>
      </c>
      <c r="F12" s="17" t="s">
        <v>25</v>
      </c>
      <c r="G12" s="16"/>
    </row>
    <row r="13" spans="1:7" ht="23.25" customHeight="1" hidden="1">
      <c r="A13" s="23"/>
      <c r="B13" s="24">
        <v>44</v>
      </c>
      <c r="C13" s="24">
        <v>44</v>
      </c>
      <c r="D13" s="24"/>
      <c r="E13" s="25">
        <f>D13+C13+B13</f>
        <v>88</v>
      </c>
      <c r="F13" s="17"/>
      <c r="G13" s="16"/>
    </row>
    <row r="14" spans="1:7" ht="18.75" customHeight="1">
      <c r="A14" s="26" t="s">
        <v>26</v>
      </c>
      <c r="B14" s="26"/>
      <c r="C14" s="26"/>
      <c r="D14" s="26"/>
      <c r="E14" s="26"/>
      <c r="F14" s="26"/>
      <c r="G14" s="27" t="s">
        <v>27</v>
      </c>
    </row>
    <row r="15" spans="1:7" ht="15.75">
      <c r="A15" s="28" t="s">
        <v>28</v>
      </c>
      <c r="B15" s="28"/>
      <c r="C15" s="28"/>
      <c r="D15" s="28"/>
      <c r="E15" s="28"/>
      <c r="F15" s="28"/>
      <c r="G15" s="29">
        <f>B6*7.012*4</f>
        <v>5822.7648</v>
      </c>
    </row>
    <row r="16" spans="1:7" ht="15.75" hidden="1">
      <c r="A16" s="28" t="s">
        <v>29</v>
      </c>
      <c r="B16" s="28"/>
      <c r="C16" s="28"/>
      <c r="D16" s="28"/>
      <c r="E16" s="28"/>
      <c r="F16" s="28"/>
      <c r="G16" s="29">
        <f>B7*35.705*12</f>
        <v>0</v>
      </c>
    </row>
    <row r="17" spans="1:7" ht="15.75" hidden="1">
      <c r="A17" s="28" t="s">
        <v>30</v>
      </c>
      <c r="B17" s="28"/>
      <c r="C17" s="28"/>
      <c r="D17" s="28"/>
      <c r="E17" s="28"/>
      <c r="F17" s="28"/>
      <c r="G17" s="29">
        <f>B10*0.3613*12</f>
        <v>0</v>
      </c>
    </row>
    <row r="18" spans="1:7" ht="15.75">
      <c r="A18" s="28" t="s">
        <v>31</v>
      </c>
      <c r="B18" s="28"/>
      <c r="C18" s="28"/>
      <c r="D18" s="28"/>
      <c r="E18" s="28"/>
      <c r="F18" s="28"/>
      <c r="G18" s="29">
        <f>(B9*9.46/100*64)+(C9*7.09/100*38)+(D9*23.66/100*26)+(E9*1.77/100*5)</f>
        <v>8010.5307</v>
      </c>
    </row>
    <row r="19" spans="1:7" ht="15.75" customHeight="1">
      <c r="A19" s="30" t="s">
        <v>32</v>
      </c>
      <c r="B19" s="30"/>
      <c r="C19" s="30"/>
      <c r="D19" s="30"/>
      <c r="E19" s="30"/>
      <c r="F19" s="30"/>
      <c r="G19" s="31">
        <f>574906.73/199064.79*B3</f>
        <v>6181.557094511792</v>
      </c>
    </row>
    <row r="20" spans="1:7" ht="15.75">
      <c r="A20" s="28" t="s">
        <v>33</v>
      </c>
      <c r="B20" s="28"/>
      <c r="C20" s="28"/>
      <c r="D20" s="28"/>
      <c r="E20" s="28"/>
      <c r="F20" s="28"/>
      <c r="G20" s="29">
        <f>D11*0.14*2</f>
        <v>344.708</v>
      </c>
    </row>
    <row r="21" spans="1:7" ht="15.75">
      <c r="A21" s="28" t="s">
        <v>34</v>
      </c>
      <c r="B21" s="28"/>
      <c r="C21" s="28"/>
      <c r="D21" s="28"/>
      <c r="E21" s="28"/>
      <c r="F21" s="28"/>
      <c r="G21" s="29">
        <f>95.95+2242.94+1187.32+3861.72</f>
        <v>7387.93</v>
      </c>
    </row>
    <row r="22" spans="1:7" ht="15.75">
      <c r="A22" s="28" t="s">
        <v>35</v>
      </c>
      <c r="B22" s="28"/>
      <c r="C22" s="28"/>
      <c r="D22" s="28"/>
      <c r="E22" s="28"/>
      <c r="F22" s="28"/>
      <c r="G22" s="29">
        <f>B3*0.845*4</f>
        <v>7234.552</v>
      </c>
    </row>
    <row r="23" spans="1:7" ht="15.75" hidden="1">
      <c r="A23" s="28" t="s">
        <v>36</v>
      </c>
      <c r="B23" s="28"/>
      <c r="C23" s="28"/>
      <c r="D23" s="28"/>
      <c r="E23" s="28"/>
      <c r="F23" s="28"/>
      <c r="G23" s="29">
        <v>0</v>
      </c>
    </row>
    <row r="24" spans="1:7" ht="15.75" hidden="1">
      <c r="A24" s="28" t="s">
        <v>37</v>
      </c>
      <c r="B24" s="28"/>
      <c r="C24" s="28"/>
      <c r="D24" s="28"/>
      <c r="E24" s="28"/>
      <c r="F24" s="28"/>
      <c r="G24" s="29">
        <v>0</v>
      </c>
    </row>
    <row r="25" spans="1:7" ht="15.75" hidden="1">
      <c r="A25" s="28" t="s">
        <v>38</v>
      </c>
      <c r="B25" s="28"/>
      <c r="C25" s="28"/>
      <c r="D25" s="28"/>
      <c r="E25" s="28"/>
      <c r="F25" s="28"/>
      <c r="G25" s="29">
        <v>0</v>
      </c>
    </row>
    <row r="26" spans="1:7" ht="15.75">
      <c r="A26" s="28" t="s">
        <v>39</v>
      </c>
      <c r="B26" s="28"/>
      <c r="C26" s="28"/>
      <c r="D26" s="28"/>
      <c r="E26" s="28"/>
      <c r="F26" s="28"/>
      <c r="G26" s="29">
        <f>4*352+4*251.46+633.58</f>
        <v>3047.42</v>
      </c>
    </row>
    <row r="27" spans="1:7" ht="15.75" hidden="1">
      <c r="A27" s="28" t="s">
        <v>40</v>
      </c>
      <c r="B27" s="28"/>
      <c r="C27" s="28"/>
      <c r="D27" s="28"/>
      <c r="E27" s="28"/>
      <c r="F27" s="28"/>
      <c r="G27" s="29">
        <v>0</v>
      </c>
    </row>
    <row r="28" spans="1:7" ht="15.75" hidden="1">
      <c r="A28" s="28" t="s">
        <v>41</v>
      </c>
      <c r="B28" s="28"/>
      <c r="C28" s="28"/>
      <c r="D28" s="28"/>
      <c r="E28" s="28"/>
      <c r="F28" s="28"/>
      <c r="G28" s="29">
        <v>0</v>
      </c>
    </row>
    <row r="29" spans="1:7" ht="15.75" hidden="1">
      <c r="A29" s="28" t="s">
        <v>42</v>
      </c>
      <c r="B29" s="28"/>
      <c r="C29" s="28"/>
      <c r="D29" s="28"/>
      <c r="E29" s="28"/>
      <c r="F29" s="28"/>
      <c r="G29" s="29">
        <v>0</v>
      </c>
    </row>
    <row r="30" spans="1:7" ht="15.75">
      <c r="A30" s="28" t="s">
        <v>43</v>
      </c>
      <c r="B30" s="28"/>
      <c r="C30" s="28"/>
      <c r="D30" s="28"/>
      <c r="E30" s="28"/>
      <c r="F30" s="28"/>
      <c r="G30" s="29">
        <f>B3*1.75*4</f>
        <v>14982.800000000001</v>
      </c>
    </row>
    <row r="31" spans="1:7" ht="15.75" customHeight="1">
      <c r="A31" s="30" t="s">
        <v>44</v>
      </c>
      <c r="B31" s="30"/>
      <c r="C31" s="30"/>
      <c r="D31" s="30"/>
      <c r="E31" s="30"/>
      <c r="F31" s="30"/>
      <c r="G31" s="29">
        <f>(F13*4*8.57)+(B13*2*3.14)+(C13*1*3.14)+(D13*1*3.14)</f>
        <v>414.48</v>
      </c>
    </row>
    <row r="32" spans="1:7" ht="15.75">
      <c r="A32" s="28" t="s">
        <v>45</v>
      </c>
      <c r="B32" s="28"/>
      <c r="C32" s="28"/>
      <c r="D32" s="28"/>
      <c r="E32" s="28"/>
      <c r="F32" s="28"/>
      <c r="G32" s="29">
        <f>B3*0.65*4</f>
        <v>5565.040000000001</v>
      </c>
    </row>
    <row r="33" spans="1:7" ht="15.75">
      <c r="A33" s="28" t="s">
        <v>46</v>
      </c>
      <c r="B33" s="28"/>
      <c r="C33" s="28"/>
      <c r="D33" s="28"/>
      <c r="E33" s="28"/>
      <c r="F33" s="28"/>
      <c r="G33" s="29">
        <f>B3*0.2*4</f>
        <v>1712.3200000000002</v>
      </c>
    </row>
    <row r="34" spans="1:7" ht="15.75">
      <c r="A34" s="28" t="s">
        <v>47</v>
      </c>
      <c r="B34" s="28"/>
      <c r="C34" s="28"/>
      <c r="D34" s="28"/>
      <c r="E34" s="28"/>
      <c r="F34" s="28"/>
      <c r="G34" s="29">
        <f>B3*0.7*4</f>
        <v>5993.12</v>
      </c>
    </row>
    <row r="35" spans="1:7" ht="15.75">
      <c r="A35" s="26" t="s">
        <v>48</v>
      </c>
      <c r="B35" s="26"/>
      <c r="C35" s="26"/>
      <c r="D35" s="26"/>
      <c r="E35" s="26"/>
      <c r="F35" s="26"/>
      <c r="G35" s="32">
        <f>G15+G16+G17+G18+G19+G20+G21+G22+G23+G24+G26+G30+G31+G32+G33+G34+G27+G28+G29+G25</f>
        <v>66697.2225945118</v>
      </c>
    </row>
    <row r="36" spans="1:7" ht="20.25" customHeight="1">
      <c r="A36" s="33" t="s">
        <v>49</v>
      </c>
      <c r="B36" s="33"/>
      <c r="C36" s="33"/>
      <c r="D36" s="33"/>
      <c r="E36" s="33"/>
      <c r="F36" s="33"/>
      <c r="G36" s="29"/>
    </row>
    <row r="37" spans="1:7" ht="15.75" hidden="1">
      <c r="A37" s="28" t="s">
        <v>50</v>
      </c>
      <c r="B37" s="28"/>
      <c r="C37" s="28"/>
      <c r="D37" s="28"/>
      <c r="E37" s="28"/>
      <c r="F37" s="28"/>
      <c r="G37" s="29">
        <f>B3*2.96*12</f>
        <v>76027.008</v>
      </c>
    </row>
    <row r="38" spans="1:7" ht="15.75">
      <c r="A38" s="28" t="s">
        <v>51</v>
      </c>
      <c r="B38" s="28"/>
      <c r="C38" s="28"/>
      <c r="D38" s="28"/>
      <c r="E38" s="28"/>
      <c r="F38" s="28"/>
      <c r="G38" s="29"/>
    </row>
    <row r="39" spans="1:7" ht="15.75" hidden="1">
      <c r="A39" s="34" t="s">
        <v>52</v>
      </c>
      <c r="B39" s="34"/>
      <c r="C39" s="34"/>
      <c r="D39" s="34"/>
      <c r="E39" s="34"/>
      <c r="F39" s="34"/>
      <c r="G39" s="29"/>
    </row>
    <row r="40" spans="1:7" ht="15.75">
      <c r="A40" s="34" t="s">
        <v>53</v>
      </c>
      <c r="B40" s="34"/>
      <c r="C40" s="34"/>
      <c r="D40" s="34"/>
      <c r="E40" s="34"/>
      <c r="F40" s="34"/>
      <c r="G40" s="29">
        <v>4320</v>
      </c>
    </row>
    <row r="41" spans="1:7" ht="15.75" hidden="1">
      <c r="A41" s="34" t="s">
        <v>54</v>
      </c>
      <c r="B41" s="34"/>
      <c r="C41" s="34"/>
      <c r="D41" s="34"/>
      <c r="E41" s="34"/>
      <c r="F41" s="34"/>
      <c r="G41" s="29"/>
    </row>
    <row r="42" spans="1:7" ht="15.75" hidden="1">
      <c r="A42" s="34" t="s">
        <v>55</v>
      </c>
      <c r="B42" s="34"/>
      <c r="C42" s="34"/>
      <c r="D42" s="34"/>
      <c r="E42" s="34"/>
      <c r="F42" s="34"/>
      <c r="G42" s="29"/>
    </row>
    <row r="43" spans="1:7" ht="15.75" hidden="1">
      <c r="A43" s="34" t="s">
        <v>56</v>
      </c>
      <c r="B43" s="34"/>
      <c r="C43" s="34"/>
      <c r="D43" s="34"/>
      <c r="E43" s="34"/>
      <c r="F43" s="34"/>
      <c r="G43" s="29"/>
    </row>
    <row r="44" spans="1:7" ht="15.75" hidden="1">
      <c r="A44" s="34" t="s">
        <v>57</v>
      </c>
      <c r="B44" s="34"/>
      <c r="C44" s="34"/>
      <c r="D44" s="34"/>
      <c r="E44" s="34"/>
      <c r="F44" s="34"/>
      <c r="G44" s="29"/>
    </row>
    <row r="45" spans="1:7" ht="15.75">
      <c r="A45" s="34" t="s">
        <v>58</v>
      </c>
      <c r="B45" s="34"/>
      <c r="C45" s="34"/>
      <c r="D45" s="34"/>
      <c r="E45" s="34"/>
      <c r="F45" s="34"/>
      <c r="G45" s="29">
        <v>7393</v>
      </c>
    </row>
    <row r="46" spans="1:7" ht="15.75" hidden="1">
      <c r="A46" s="34" t="s">
        <v>59</v>
      </c>
      <c r="B46" s="34"/>
      <c r="C46" s="34"/>
      <c r="D46" s="34"/>
      <c r="E46" s="34"/>
      <c r="F46" s="34"/>
      <c r="G46" s="29"/>
    </row>
    <row r="47" spans="1:7" ht="15.75" hidden="1">
      <c r="A47" s="34" t="s">
        <v>60</v>
      </c>
      <c r="B47" s="34"/>
      <c r="C47" s="34"/>
      <c r="D47" s="34"/>
      <c r="E47" s="34"/>
      <c r="F47" s="34"/>
      <c r="G47" s="29"/>
    </row>
    <row r="48" spans="1:7" ht="15.75" hidden="1">
      <c r="A48" s="34" t="s">
        <v>61</v>
      </c>
      <c r="B48" s="34"/>
      <c r="C48" s="34"/>
      <c r="D48" s="34"/>
      <c r="E48" s="34"/>
      <c r="F48" s="34"/>
      <c r="G48" s="29"/>
    </row>
    <row r="49" spans="1:7" ht="15.75" hidden="1">
      <c r="A49" s="34" t="s">
        <v>62</v>
      </c>
      <c r="B49" s="34"/>
      <c r="C49" s="34"/>
      <c r="D49" s="34"/>
      <c r="E49" s="34"/>
      <c r="F49" s="34"/>
      <c r="G49" s="29"/>
    </row>
    <row r="50" spans="1:7" ht="15.75">
      <c r="A50" s="34" t="s">
        <v>63</v>
      </c>
      <c r="B50" s="34"/>
      <c r="C50" s="34"/>
      <c r="D50" s="34"/>
      <c r="E50" s="34"/>
      <c r="F50" s="34"/>
      <c r="G50" s="29">
        <v>4960</v>
      </c>
    </row>
    <row r="51" spans="1:7" ht="15.75" hidden="1">
      <c r="A51" s="34" t="s">
        <v>64</v>
      </c>
      <c r="B51" s="34"/>
      <c r="C51" s="34"/>
      <c r="D51" s="34"/>
      <c r="E51" s="34"/>
      <c r="F51" s="34"/>
      <c r="G51" s="29"/>
    </row>
    <row r="52" spans="1:7" ht="15.75" hidden="1">
      <c r="A52" s="34" t="s">
        <v>65</v>
      </c>
      <c r="B52" s="34"/>
      <c r="C52" s="34"/>
      <c r="D52" s="34"/>
      <c r="E52" s="34"/>
      <c r="F52" s="34"/>
      <c r="G52" s="29"/>
    </row>
    <row r="53" spans="1:7" ht="18.75" customHeight="1">
      <c r="A53" s="33" t="s">
        <v>66</v>
      </c>
      <c r="B53" s="33"/>
      <c r="C53" s="33"/>
      <c r="D53" s="33"/>
      <c r="E53" s="33"/>
      <c r="F53" s="33"/>
      <c r="G53" s="32">
        <f>G39+G40+G41+G42+G43+G44+G45+G46+G47+G48+G49+G50+G51+G52</f>
        <v>16673</v>
      </c>
    </row>
    <row r="54" spans="1:7" ht="21" customHeight="1">
      <c r="A54" s="33" t="s">
        <v>67</v>
      </c>
      <c r="B54" s="33"/>
      <c r="C54" s="33"/>
      <c r="D54" s="33"/>
      <c r="E54" s="33"/>
      <c r="F54" s="33"/>
      <c r="G54" s="32">
        <f>G35+G53</f>
        <v>83370.2225945118</v>
      </c>
    </row>
    <row r="55" spans="1:7" ht="15.75" hidden="1">
      <c r="A55" s="28" t="s">
        <v>68</v>
      </c>
      <c r="B55" s="28"/>
      <c r="C55" s="28"/>
      <c r="D55" s="28"/>
      <c r="E55" s="28"/>
      <c r="F55" s="28"/>
      <c r="G55" s="29">
        <v>0</v>
      </c>
    </row>
    <row r="56" spans="1:7" ht="15.75">
      <c r="A56" s="41" t="s">
        <v>69</v>
      </c>
      <c r="B56" s="41"/>
      <c r="C56" s="41"/>
      <c r="D56" s="41"/>
      <c r="E56" s="41"/>
      <c r="F56" s="41"/>
      <c r="G56" s="29">
        <f>281.58*4+141.6*4+180*4</f>
        <v>2412.72</v>
      </c>
    </row>
    <row r="57" spans="1:7" ht="15.75" customHeight="1">
      <c r="A57" s="42" t="s">
        <v>70</v>
      </c>
      <c r="B57" s="42"/>
      <c r="C57" s="42"/>
      <c r="D57" s="42"/>
      <c r="E57" s="42"/>
      <c r="F57" s="42"/>
      <c r="G57" s="32">
        <f>B3*B5*4+G56</f>
        <v>83662.304</v>
      </c>
    </row>
    <row r="58" spans="1:7" ht="15.75" customHeight="1">
      <c r="A58" s="43" t="s">
        <v>71</v>
      </c>
      <c r="B58" s="43"/>
      <c r="C58" s="43"/>
      <c r="D58" s="43"/>
      <c r="E58" s="43"/>
      <c r="F58" s="43"/>
      <c r="G58" s="44">
        <v>10100.37</v>
      </c>
    </row>
    <row r="59" spans="1:7" ht="60" customHeight="1">
      <c r="A59" s="33" t="s">
        <v>80</v>
      </c>
      <c r="B59" s="33"/>
      <c r="C59" s="33"/>
      <c r="D59" s="33"/>
      <c r="E59" s="33"/>
      <c r="F59" s="33"/>
      <c r="G59" s="32">
        <f>G54-G57+G58-G55</f>
        <v>9808.288594511794</v>
      </c>
    </row>
  </sheetData>
  <sheetProtection selectLockedCells="1" selectUnlockedCells="1"/>
  <mergeCells count="48">
    <mergeCell ref="A1:G1"/>
    <mergeCell ref="B2:E2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0"/>
  </sheetPr>
  <dimension ref="A1:G59"/>
  <sheetViews>
    <sheetView zoomScale="75" zoomScaleNormal="75" workbookViewId="0" topLeftCell="A2">
      <pane ySplit="65535" topLeftCell="A2" activePane="topLeft" state="split"/>
      <selection pane="topLeft" activeCell="G26" activeCellId="1" sqref="A77:G138 G26"/>
      <selection pane="bottomLeft" activeCell="A2" sqref="A2"/>
    </sheetView>
  </sheetViews>
  <sheetFormatPr defaultColWidth="9.140625" defaultRowHeight="12.75"/>
  <cols>
    <col min="1" max="1" width="23.8515625" style="1" customWidth="1"/>
    <col min="2" max="2" width="11.57421875" style="1" customWidth="1"/>
    <col min="3" max="5" width="9.140625" style="1" customWidth="1"/>
    <col min="6" max="6" width="21.421875" style="1" customWidth="1"/>
    <col min="7" max="7" width="16.00390625" style="1" customWidth="1"/>
    <col min="8" max="16384" width="9.140625" style="1" customWidth="1"/>
  </cols>
  <sheetData>
    <row r="1" spans="1:7" ht="39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128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4</v>
      </c>
      <c r="B3" s="10">
        <v>3027.1</v>
      </c>
      <c r="F3" s="8" t="s">
        <v>5</v>
      </c>
      <c r="G3" s="11">
        <v>3</v>
      </c>
    </row>
    <row r="4" spans="1:7" ht="18.75">
      <c r="A4" s="12" t="s">
        <v>6</v>
      </c>
      <c r="B4" s="13"/>
      <c r="F4" s="8" t="s">
        <v>8</v>
      </c>
      <c r="G4" s="9">
        <v>1971</v>
      </c>
    </row>
    <row r="5" spans="1:3" ht="16.5" customHeight="1">
      <c r="A5" s="12" t="s">
        <v>6</v>
      </c>
      <c r="B5" s="13">
        <v>11.3</v>
      </c>
      <c r="C5" s="1" t="s">
        <v>9</v>
      </c>
    </row>
    <row r="6" spans="1:7" ht="18.75" hidden="1">
      <c r="A6" s="14" t="s">
        <v>10</v>
      </c>
      <c r="B6" s="15">
        <v>519.2</v>
      </c>
      <c r="C6" s="16"/>
      <c r="D6" s="16"/>
      <c r="E6" s="16"/>
      <c r="F6" s="16"/>
      <c r="G6" s="16"/>
    </row>
    <row r="7" spans="1:7" ht="18.75" hidden="1">
      <c r="A7" s="14" t="s">
        <v>12</v>
      </c>
      <c r="B7" s="17">
        <v>0</v>
      </c>
      <c r="C7" s="16"/>
      <c r="D7" s="16"/>
      <c r="E7" s="16"/>
      <c r="F7" s="16"/>
      <c r="G7" s="16"/>
    </row>
    <row r="8" spans="1:7" ht="38.25" customHeight="1" hidden="1">
      <c r="A8" s="18" t="s">
        <v>13</v>
      </c>
      <c r="B8" s="19" t="s">
        <v>14</v>
      </c>
      <c r="C8" s="19" t="s">
        <v>15</v>
      </c>
      <c r="D8" s="19" t="s">
        <v>16</v>
      </c>
      <c r="E8" s="19" t="s">
        <v>17</v>
      </c>
      <c r="F8" s="16"/>
      <c r="G8" s="16"/>
    </row>
    <row r="9" spans="1:7" ht="20.25" customHeight="1" hidden="1">
      <c r="A9" s="14"/>
      <c r="B9" s="17">
        <v>930</v>
      </c>
      <c r="C9" s="17">
        <v>1972</v>
      </c>
      <c r="D9" s="17">
        <v>483</v>
      </c>
      <c r="E9" s="17">
        <v>2419</v>
      </c>
      <c r="F9" s="16"/>
      <c r="G9" s="16"/>
    </row>
    <row r="10" spans="1:7" ht="18.75" hidden="1">
      <c r="A10" s="14" t="s">
        <v>18</v>
      </c>
      <c r="B10" s="20">
        <v>0</v>
      </c>
      <c r="C10" s="16"/>
      <c r="D10" s="16"/>
      <c r="E10" s="16"/>
      <c r="F10" s="16"/>
      <c r="G10" s="16"/>
    </row>
    <row r="11" spans="1:7" ht="19.5" hidden="1">
      <c r="A11" s="14" t="s">
        <v>19</v>
      </c>
      <c r="B11" s="20">
        <v>0</v>
      </c>
      <c r="C11" s="20">
        <v>658.5</v>
      </c>
      <c r="D11" s="20">
        <f>B11+C11</f>
        <v>658.5</v>
      </c>
      <c r="E11" s="16"/>
      <c r="F11" s="16"/>
      <c r="G11" s="16"/>
    </row>
    <row r="12" spans="1:7" ht="50.25" customHeight="1" hidden="1">
      <c r="A12" s="14" t="s">
        <v>20</v>
      </c>
      <c r="B12" s="19" t="s">
        <v>21</v>
      </c>
      <c r="C12" s="21" t="s">
        <v>22</v>
      </c>
      <c r="D12" s="19" t="s">
        <v>23</v>
      </c>
      <c r="E12" s="22" t="s">
        <v>24</v>
      </c>
      <c r="F12" s="17" t="s">
        <v>25</v>
      </c>
      <c r="G12" s="16"/>
    </row>
    <row r="13" spans="1:7" ht="23.25" customHeight="1" hidden="1">
      <c r="A13" s="23"/>
      <c r="B13" s="24">
        <v>159</v>
      </c>
      <c r="C13" s="24">
        <v>0</v>
      </c>
      <c r="D13" s="24">
        <v>159</v>
      </c>
      <c r="E13" s="25">
        <f>D13+C13+B13</f>
        <v>318</v>
      </c>
      <c r="F13" s="17">
        <v>0</v>
      </c>
      <c r="G13" s="16"/>
    </row>
    <row r="14" spans="1:7" ht="18.75" customHeight="1">
      <c r="A14" s="26" t="s">
        <v>26</v>
      </c>
      <c r="B14" s="26"/>
      <c r="C14" s="26"/>
      <c r="D14" s="26"/>
      <c r="E14" s="26"/>
      <c r="F14" s="26"/>
      <c r="G14" s="27" t="s">
        <v>27</v>
      </c>
    </row>
    <row r="15" spans="1:7" ht="15.75">
      <c r="A15" s="28" t="s">
        <v>28</v>
      </c>
      <c r="B15" s="28"/>
      <c r="C15" s="28"/>
      <c r="D15" s="28"/>
      <c r="E15" s="28"/>
      <c r="F15" s="28"/>
      <c r="G15" s="29">
        <f>B6*8.689*4</f>
        <v>18045.3152</v>
      </c>
    </row>
    <row r="16" spans="1:7" ht="15.75" hidden="1">
      <c r="A16" s="28" t="s">
        <v>29</v>
      </c>
      <c r="B16" s="28"/>
      <c r="C16" s="28"/>
      <c r="D16" s="28"/>
      <c r="E16" s="28"/>
      <c r="F16" s="28"/>
      <c r="G16" s="29">
        <f>B7*19.03*12</f>
        <v>0</v>
      </c>
    </row>
    <row r="17" spans="1:7" ht="15.75" hidden="1">
      <c r="A17" s="28" t="s">
        <v>30</v>
      </c>
      <c r="B17" s="28"/>
      <c r="C17" s="28"/>
      <c r="D17" s="28"/>
      <c r="E17" s="28"/>
      <c r="F17" s="28"/>
      <c r="G17" s="29">
        <f>B10*0.4523*12</f>
        <v>0</v>
      </c>
    </row>
    <row r="18" spans="1:7" ht="15.75">
      <c r="A18" s="28" t="s">
        <v>31</v>
      </c>
      <c r="B18" s="28"/>
      <c r="C18" s="28"/>
      <c r="D18" s="28"/>
      <c r="E18" s="28"/>
      <c r="F18" s="28"/>
      <c r="G18" s="29">
        <f>(B9*12.84/100*64)+(C9*9.63/100*38)+(D9*32.11/100*26)+(E9*2.41/100*5)</f>
        <v>19182.5681</v>
      </c>
    </row>
    <row r="19" spans="1:7" ht="15.75" customHeight="1">
      <c r="A19" s="30" t="s">
        <v>32</v>
      </c>
      <c r="B19" s="30"/>
      <c r="C19" s="30"/>
      <c r="D19" s="30"/>
      <c r="E19" s="30"/>
      <c r="F19" s="30"/>
      <c r="G19" s="31">
        <f>574906.73/199064.79*B3</f>
        <v>8742.38062081697</v>
      </c>
    </row>
    <row r="20" spans="1:7" ht="15.75">
      <c r="A20" s="28" t="s">
        <v>33</v>
      </c>
      <c r="B20" s="28"/>
      <c r="C20" s="28"/>
      <c r="D20" s="28"/>
      <c r="E20" s="28"/>
      <c r="F20" s="28"/>
      <c r="G20" s="29">
        <f>D11*0.14*2</f>
        <v>184.38000000000002</v>
      </c>
    </row>
    <row r="21" spans="1:7" ht="15.75" hidden="1">
      <c r="A21" s="28" t="s">
        <v>34</v>
      </c>
      <c r="B21" s="28"/>
      <c r="C21" s="28"/>
      <c r="D21" s="28"/>
      <c r="E21" s="28"/>
      <c r="F21" s="28"/>
      <c r="G21" s="29">
        <v>0</v>
      </c>
    </row>
    <row r="22" spans="1:7" ht="15.75">
      <c r="A22" s="28" t="s">
        <v>35</v>
      </c>
      <c r="B22" s="28"/>
      <c r="C22" s="28"/>
      <c r="D22" s="28"/>
      <c r="E22" s="28"/>
      <c r="F22" s="28"/>
      <c r="G22" s="29">
        <f>B3*0.845*4</f>
        <v>10231.598</v>
      </c>
    </row>
    <row r="23" spans="1:7" ht="15.75" hidden="1">
      <c r="A23" s="28" t="s">
        <v>36</v>
      </c>
      <c r="B23" s="28"/>
      <c r="C23" s="28"/>
      <c r="D23" s="28"/>
      <c r="E23" s="28"/>
      <c r="F23" s="28"/>
      <c r="G23" s="29">
        <v>0</v>
      </c>
    </row>
    <row r="24" spans="1:7" ht="15.75" hidden="1">
      <c r="A24" s="28" t="s">
        <v>37</v>
      </c>
      <c r="B24" s="28"/>
      <c r="C24" s="28"/>
      <c r="D24" s="28"/>
      <c r="E24" s="28"/>
      <c r="F24" s="28"/>
      <c r="G24" s="29">
        <v>0</v>
      </c>
    </row>
    <row r="25" spans="1:7" ht="15.75" hidden="1">
      <c r="A25" s="28" t="s">
        <v>38</v>
      </c>
      <c r="B25" s="28"/>
      <c r="C25" s="28"/>
      <c r="D25" s="28"/>
      <c r="E25" s="28"/>
      <c r="F25" s="28"/>
      <c r="G25" s="29">
        <v>0</v>
      </c>
    </row>
    <row r="26" spans="1:7" ht="15.75">
      <c r="A26" s="28" t="s">
        <v>39</v>
      </c>
      <c r="B26" s="28"/>
      <c r="C26" s="28"/>
      <c r="D26" s="28"/>
      <c r="E26" s="28"/>
      <c r="F26" s="28"/>
      <c r="G26" s="29">
        <f>4*352+1.5*251.46</f>
        <v>1785.19</v>
      </c>
    </row>
    <row r="27" spans="1:7" ht="15.75" hidden="1">
      <c r="A27" s="28" t="s">
        <v>40</v>
      </c>
      <c r="B27" s="28"/>
      <c r="C27" s="28"/>
      <c r="D27" s="28"/>
      <c r="E27" s="28"/>
      <c r="F27" s="28"/>
      <c r="G27" s="29">
        <v>0</v>
      </c>
    </row>
    <row r="28" spans="1:7" ht="15.75" hidden="1">
      <c r="A28" s="28" t="s">
        <v>41</v>
      </c>
      <c r="B28" s="28"/>
      <c r="C28" s="28"/>
      <c r="D28" s="28"/>
      <c r="E28" s="28"/>
      <c r="F28" s="28"/>
      <c r="G28" s="29">
        <v>0</v>
      </c>
    </row>
    <row r="29" spans="1:7" ht="15.75" hidden="1">
      <c r="A29" s="28" t="s">
        <v>42</v>
      </c>
      <c r="B29" s="28"/>
      <c r="C29" s="28"/>
      <c r="D29" s="28"/>
      <c r="E29" s="28"/>
      <c r="F29" s="28"/>
      <c r="G29" s="29">
        <v>0</v>
      </c>
    </row>
    <row r="30" spans="1:7" ht="15.75">
      <c r="A30" s="28" t="s">
        <v>43</v>
      </c>
      <c r="B30" s="28"/>
      <c r="C30" s="28"/>
      <c r="D30" s="28"/>
      <c r="E30" s="28"/>
      <c r="F30" s="28"/>
      <c r="G30" s="29">
        <f>B3*1.75*4</f>
        <v>21189.7</v>
      </c>
    </row>
    <row r="31" spans="1:7" ht="15.75" customHeight="1">
      <c r="A31" s="30" t="s">
        <v>44</v>
      </c>
      <c r="B31" s="30"/>
      <c r="C31" s="30"/>
      <c r="D31" s="30"/>
      <c r="E31" s="30"/>
      <c r="F31" s="30"/>
      <c r="G31" s="29">
        <f>(F13*4*8.57)+(B13*2*3.14)+(C13*1*3.14)+(D13*1*3.14)</f>
        <v>1497.7800000000002</v>
      </c>
    </row>
    <row r="32" spans="1:7" ht="15.75">
      <c r="A32" s="28" t="s">
        <v>45</v>
      </c>
      <c r="B32" s="28"/>
      <c r="C32" s="28"/>
      <c r="D32" s="28"/>
      <c r="E32" s="28"/>
      <c r="F32" s="28"/>
      <c r="G32" s="29">
        <f>B3*0.65*4</f>
        <v>7870.46</v>
      </c>
    </row>
    <row r="33" spans="1:7" ht="15.75">
      <c r="A33" s="28" t="s">
        <v>46</v>
      </c>
      <c r="B33" s="28"/>
      <c r="C33" s="28"/>
      <c r="D33" s="28"/>
      <c r="E33" s="28"/>
      <c r="F33" s="28"/>
      <c r="G33" s="29">
        <f>B3*0.2*4</f>
        <v>2421.68</v>
      </c>
    </row>
    <row r="34" spans="1:7" ht="15.75">
      <c r="A34" s="28" t="s">
        <v>47</v>
      </c>
      <c r="B34" s="28"/>
      <c r="C34" s="28"/>
      <c r="D34" s="28"/>
      <c r="E34" s="28"/>
      <c r="F34" s="28"/>
      <c r="G34" s="29">
        <f>B3*0.7*4</f>
        <v>8475.88</v>
      </c>
    </row>
    <row r="35" spans="1:7" ht="15.75">
      <c r="A35" s="26" t="s">
        <v>48</v>
      </c>
      <c r="B35" s="26"/>
      <c r="C35" s="26"/>
      <c r="D35" s="26"/>
      <c r="E35" s="26"/>
      <c r="F35" s="26"/>
      <c r="G35" s="32">
        <f>G15+G16+G17+G18+G19+G20+G21+G22+G23+G24+G26+G30+G31+G32+G33+G34+G27+G28+G29+G25</f>
        <v>99626.93192081698</v>
      </c>
    </row>
    <row r="36" spans="1:7" ht="20.25" customHeight="1">
      <c r="A36" s="33" t="s">
        <v>49</v>
      </c>
      <c r="B36" s="33"/>
      <c r="C36" s="33"/>
      <c r="D36" s="33"/>
      <c r="E36" s="33"/>
      <c r="F36" s="33"/>
      <c r="G36" s="29"/>
    </row>
    <row r="37" spans="1:7" ht="15.75" hidden="1">
      <c r="A37" s="28" t="s">
        <v>50</v>
      </c>
      <c r="B37" s="28"/>
      <c r="C37" s="28"/>
      <c r="D37" s="28"/>
      <c r="E37" s="28"/>
      <c r="F37" s="28"/>
      <c r="G37" s="29">
        <f>B3*3.47*12</f>
        <v>126048.444</v>
      </c>
    </row>
    <row r="38" spans="1:7" ht="15.75">
      <c r="A38" s="28" t="s">
        <v>51</v>
      </c>
      <c r="B38" s="28"/>
      <c r="C38" s="28"/>
      <c r="D38" s="28"/>
      <c r="E38" s="28"/>
      <c r="F38" s="28"/>
      <c r="G38" s="29"/>
    </row>
    <row r="39" spans="1:7" ht="15.75" hidden="1">
      <c r="A39" s="34" t="s">
        <v>52</v>
      </c>
      <c r="B39" s="34"/>
      <c r="C39" s="34"/>
      <c r="D39" s="34"/>
      <c r="E39" s="34"/>
      <c r="F39" s="34"/>
      <c r="G39" s="29"/>
    </row>
    <row r="40" spans="1:7" ht="15.75" hidden="1">
      <c r="A40" s="34" t="s">
        <v>53</v>
      </c>
      <c r="B40" s="34"/>
      <c r="C40" s="34"/>
      <c r="D40" s="34"/>
      <c r="E40" s="34"/>
      <c r="F40" s="34"/>
      <c r="G40" s="29"/>
    </row>
    <row r="41" spans="1:7" ht="15.75" hidden="1">
      <c r="A41" s="34" t="s">
        <v>54</v>
      </c>
      <c r="B41" s="34"/>
      <c r="C41" s="34"/>
      <c r="D41" s="34"/>
      <c r="E41" s="34"/>
      <c r="F41" s="34"/>
      <c r="G41" s="29"/>
    </row>
    <row r="42" spans="1:7" ht="15.75" hidden="1">
      <c r="A42" s="34" t="s">
        <v>129</v>
      </c>
      <c r="B42" s="34"/>
      <c r="C42" s="34"/>
      <c r="D42" s="34"/>
      <c r="E42" s="34"/>
      <c r="F42" s="34"/>
      <c r="G42" s="29"/>
    </row>
    <row r="43" spans="1:7" ht="15.75" hidden="1">
      <c r="A43" s="34" t="s">
        <v>56</v>
      </c>
      <c r="B43" s="34"/>
      <c r="C43" s="34"/>
      <c r="D43" s="34"/>
      <c r="E43" s="34"/>
      <c r="F43" s="34"/>
      <c r="G43" s="29"/>
    </row>
    <row r="44" spans="1:7" ht="15.75" hidden="1">
      <c r="A44" s="34" t="s">
        <v>57</v>
      </c>
      <c r="B44" s="34"/>
      <c r="C44" s="34"/>
      <c r="D44" s="34"/>
      <c r="E44" s="34"/>
      <c r="F44" s="34"/>
      <c r="G44" s="29"/>
    </row>
    <row r="45" spans="1:7" ht="15.75">
      <c r="A45" s="34" t="s">
        <v>58</v>
      </c>
      <c r="B45" s="34"/>
      <c r="C45" s="34"/>
      <c r="D45" s="34"/>
      <c r="E45" s="34"/>
      <c r="F45" s="34"/>
      <c r="G45" s="29">
        <v>168</v>
      </c>
    </row>
    <row r="46" spans="1:7" ht="15.75">
      <c r="A46" s="34" t="s">
        <v>59</v>
      </c>
      <c r="B46" s="34"/>
      <c r="C46" s="34"/>
      <c r="D46" s="34"/>
      <c r="E46" s="34"/>
      <c r="F46" s="34"/>
      <c r="G46" s="29">
        <v>2540</v>
      </c>
    </row>
    <row r="47" spans="1:7" ht="15.75" hidden="1">
      <c r="A47" s="34" t="s">
        <v>60</v>
      </c>
      <c r="B47" s="34"/>
      <c r="C47" s="34"/>
      <c r="D47" s="34"/>
      <c r="E47" s="34"/>
      <c r="F47" s="34"/>
      <c r="G47" s="29"/>
    </row>
    <row r="48" spans="1:7" ht="15.75">
      <c r="A48" s="34" t="s">
        <v>61</v>
      </c>
      <c r="B48" s="34"/>
      <c r="C48" s="34"/>
      <c r="D48" s="34"/>
      <c r="E48" s="34"/>
      <c r="F48" s="34"/>
      <c r="G48" s="29">
        <v>9420</v>
      </c>
    </row>
    <row r="49" spans="1:7" ht="15.75" hidden="1">
      <c r="A49" s="34" t="s">
        <v>62</v>
      </c>
      <c r="B49" s="34"/>
      <c r="C49" s="34"/>
      <c r="D49" s="34"/>
      <c r="E49" s="34"/>
      <c r="F49" s="34"/>
      <c r="G49" s="29"/>
    </row>
    <row r="50" spans="1:7" ht="15.75">
      <c r="A50" s="34" t="s">
        <v>63</v>
      </c>
      <c r="B50" s="34"/>
      <c r="C50" s="34"/>
      <c r="D50" s="34"/>
      <c r="E50" s="34"/>
      <c r="F50" s="34"/>
      <c r="G50" s="29">
        <v>8960</v>
      </c>
    </row>
    <row r="51" spans="1:7" ht="15.75" hidden="1">
      <c r="A51" s="34" t="s">
        <v>64</v>
      </c>
      <c r="B51" s="34"/>
      <c r="C51" s="34"/>
      <c r="D51" s="34"/>
      <c r="E51" s="34"/>
      <c r="F51" s="34"/>
      <c r="G51" s="29"/>
    </row>
    <row r="52" spans="1:7" ht="15.75" hidden="1">
      <c r="A52" s="34" t="s">
        <v>65</v>
      </c>
      <c r="B52" s="34"/>
      <c r="C52" s="34"/>
      <c r="D52" s="34"/>
      <c r="E52" s="34"/>
      <c r="F52" s="34"/>
      <c r="G52" s="29"/>
    </row>
    <row r="53" spans="1:7" ht="15.75" customHeight="1">
      <c r="A53" s="33" t="s">
        <v>66</v>
      </c>
      <c r="B53" s="33"/>
      <c r="C53" s="33"/>
      <c r="D53" s="33"/>
      <c r="E53" s="33"/>
      <c r="F53" s="33"/>
      <c r="G53" s="32">
        <f>G39+G40+G41+G42+G43+G44+G45+G46+G47+G48+G49+G50+G51+G52</f>
        <v>21088</v>
      </c>
    </row>
    <row r="54" spans="1:7" ht="15.75" customHeight="1">
      <c r="A54" s="33" t="s">
        <v>67</v>
      </c>
      <c r="B54" s="33"/>
      <c r="C54" s="33"/>
      <c r="D54" s="33"/>
      <c r="E54" s="33"/>
      <c r="F54" s="33"/>
      <c r="G54" s="32">
        <f>G35+G53</f>
        <v>120714.93192081698</v>
      </c>
    </row>
    <row r="55" spans="1:7" ht="15.75" hidden="1">
      <c r="A55" s="28" t="s">
        <v>68</v>
      </c>
      <c r="B55" s="28"/>
      <c r="C55" s="28"/>
      <c r="D55" s="28"/>
      <c r="E55" s="28"/>
      <c r="F55" s="28"/>
      <c r="G55" s="29">
        <v>0</v>
      </c>
    </row>
    <row r="56" spans="1:7" ht="15.75">
      <c r="A56" s="41" t="s">
        <v>69</v>
      </c>
      <c r="B56" s="41"/>
      <c r="C56" s="41"/>
      <c r="D56" s="41"/>
      <c r="E56" s="41"/>
      <c r="F56" s="41"/>
      <c r="G56" s="29">
        <f>281.58*4+141.6*4+141.6*4+180*4</f>
        <v>2979.12</v>
      </c>
    </row>
    <row r="57" spans="1:7" ht="15.75" customHeight="1">
      <c r="A57" s="42" t="s">
        <v>70</v>
      </c>
      <c r="B57" s="42"/>
      <c r="C57" s="42"/>
      <c r="D57" s="42"/>
      <c r="E57" s="42"/>
      <c r="F57" s="42"/>
      <c r="G57" s="32">
        <f>B3*B5*4+G56</f>
        <v>139804.04</v>
      </c>
    </row>
    <row r="58" spans="1:7" ht="15.75" customHeight="1">
      <c r="A58" s="43" t="s">
        <v>71</v>
      </c>
      <c r="B58" s="43"/>
      <c r="C58" s="43"/>
      <c r="D58" s="43"/>
      <c r="E58" s="43"/>
      <c r="F58" s="43"/>
      <c r="G58" s="44">
        <v>31984.06</v>
      </c>
    </row>
    <row r="59" spans="1:7" ht="64.5" customHeight="1">
      <c r="A59" s="33" t="s">
        <v>82</v>
      </c>
      <c r="B59" s="33"/>
      <c r="C59" s="33"/>
      <c r="D59" s="33"/>
      <c r="E59" s="33"/>
      <c r="F59" s="33"/>
      <c r="G59" s="32">
        <f>G54-G57-G55+G58</f>
        <v>12894.95192081697</v>
      </c>
    </row>
  </sheetData>
  <sheetProtection selectLockedCells="1" selectUnlockedCells="1"/>
  <mergeCells count="48">
    <mergeCell ref="A1:G1"/>
    <mergeCell ref="B2:E2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0"/>
  </sheetPr>
  <dimension ref="A1:G59"/>
  <sheetViews>
    <sheetView zoomScale="75" zoomScaleNormal="75" workbookViewId="0" topLeftCell="A26">
      <pane ySplit="65535" topLeftCell="A26" activePane="topLeft" state="split"/>
      <selection pane="topLeft" activeCell="G58" activeCellId="1" sqref="A77:G138 G58"/>
      <selection pane="bottomLeft" activeCell="A26" sqref="A26"/>
    </sheetView>
  </sheetViews>
  <sheetFormatPr defaultColWidth="9.140625" defaultRowHeight="12.75"/>
  <cols>
    <col min="1" max="1" width="23.8515625" style="1" customWidth="1"/>
    <col min="2" max="2" width="11.57421875" style="1" customWidth="1"/>
    <col min="3" max="5" width="9.140625" style="1" customWidth="1"/>
    <col min="6" max="6" width="21.421875" style="1" customWidth="1"/>
    <col min="7" max="7" width="15.421875" style="1" customWidth="1"/>
    <col min="8" max="16384" width="9.140625" style="1" customWidth="1"/>
  </cols>
  <sheetData>
    <row r="1" spans="1:7" ht="39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130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4</v>
      </c>
      <c r="B3" s="10">
        <v>2884.9</v>
      </c>
      <c r="F3" s="8" t="s">
        <v>5</v>
      </c>
      <c r="G3" s="11">
        <v>3</v>
      </c>
    </row>
    <row r="4" spans="1:7" ht="18.75">
      <c r="A4" s="12" t="s">
        <v>6</v>
      </c>
      <c r="B4" s="13"/>
      <c r="F4" s="8" t="s">
        <v>8</v>
      </c>
      <c r="G4" s="9">
        <v>1971</v>
      </c>
    </row>
    <row r="5" spans="1:3" ht="16.5" customHeight="1">
      <c r="A5" s="12" t="s">
        <v>6</v>
      </c>
      <c r="B5" s="13">
        <v>11.3</v>
      </c>
      <c r="C5" s="1" t="s">
        <v>9</v>
      </c>
    </row>
    <row r="6" spans="1:7" ht="18.75" hidden="1">
      <c r="A6" s="14" t="s">
        <v>10</v>
      </c>
      <c r="B6" s="15">
        <v>519.4</v>
      </c>
      <c r="C6" s="16"/>
      <c r="D6" s="16"/>
      <c r="E6" s="16"/>
      <c r="F6" s="16"/>
      <c r="G6" s="16"/>
    </row>
    <row r="7" spans="1:7" ht="18.75" hidden="1">
      <c r="A7" s="14" t="s">
        <v>12</v>
      </c>
      <c r="B7" s="17">
        <v>0</v>
      </c>
      <c r="C7" s="16"/>
      <c r="D7" s="16"/>
      <c r="E7" s="16"/>
      <c r="F7" s="16"/>
      <c r="G7" s="16"/>
    </row>
    <row r="8" spans="1:7" ht="38.25" customHeight="1" hidden="1">
      <c r="A8" s="18" t="s">
        <v>13</v>
      </c>
      <c r="B8" s="19" t="s">
        <v>14</v>
      </c>
      <c r="C8" s="19" t="s">
        <v>15</v>
      </c>
      <c r="D8" s="19" t="s">
        <v>16</v>
      </c>
      <c r="E8" s="19" t="s">
        <v>17</v>
      </c>
      <c r="F8" s="16"/>
      <c r="G8" s="16"/>
    </row>
    <row r="9" spans="1:7" ht="20.25" customHeight="1" hidden="1">
      <c r="A9" s="14"/>
      <c r="B9" s="17">
        <v>1404</v>
      </c>
      <c r="C9" s="17">
        <v>1855</v>
      </c>
      <c r="D9" s="17">
        <v>922</v>
      </c>
      <c r="E9" s="17">
        <v>2337</v>
      </c>
      <c r="F9" s="16"/>
      <c r="G9" s="16"/>
    </row>
    <row r="10" spans="1:7" ht="18.75" hidden="1">
      <c r="A10" s="14" t="s">
        <v>18</v>
      </c>
      <c r="B10" s="20">
        <v>0</v>
      </c>
      <c r="C10" s="16"/>
      <c r="D10" s="16"/>
      <c r="E10" s="16"/>
      <c r="F10" s="16"/>
      <c r="G10" s="16"/>
    </row>
    <row r="11" spans="1:7" ht="19.5" hidden="1">
      <c r="A11" s="14" t="s">
        <v>19</v>
      </c>
      <c r="B11" s="20">
        <v>0</v>
      </c>
      <c r="C11" s="20">
        <v>594.5</v>
      </c>
      <c r="D11" s="20">
        <f>B11+C11</f>
        <v>594.5</v>
      </c>
      <c r="E11" s="16"/>
      <c r="F11" s="16"/>
      <c r="G11" s="16"/>
    </row>
    <row r="12" spans="1:7" ht="50.25" customHeight="1" hidden="1">
      <c r="A12" s="14" t="s">
        <v>20</v>
      </c>
      <c r="B12" s="19" t="s">
        <v>21</v>
      </c>
      <c r="C12" s="21" t="s">
        <v>22</v>
      </c>
      <c r="D12" s="19" t="s">
        <v>23</v>
      </c>
      <c r="E12" s="22" t="s">
        <v>24</v>
      </c>
      <c r="F12" s="17" t="s">
        <v>25</v>
      </c>
      <c r="G12" s="16"/>
    </row>
    <row r="13" spans="1:7" ht="23.25" customHeight="1" hidden="1">
      <c r="A13" s="23"/>
      <c r="B13" s="24">
        <v>159</v>
      </c>
      <c r="C13" s="24">
        <v>0</v>
      </c>
      <c r="D13" s="24">
        <v>159</v>
      </c>
      <c r="E13" s="25">
        <f>D13+C13+B13</f>
        <v>318</v>
      </c>
      <c r="F13" s="17">
        <v>0</v>
      </c>
      <c r="G13" s="16"/>
    </row>
    <row r="14" spans="1:7" ht="18.75" customHeight="1">
      <c r="A14" s="26" t="s">
        <v>26</v>
      </c>
      <c r="B14" s="26"/>
      <c r="C14" s="26"/>
      <c r="D14" s="26"/>
      <c r="E14" s="26"/>
      <c r="F14" s="26"/>
      <c r="G14" s="27" t="s">
        <v>27</v>
      </c>
    </row>
    <row r="15" spans="1:7" ht="15.75">
      <c r="A15" s="28" t="s">
        <v>28</v>
      </c>
      <c r="B15" s="28"/>
      <c r="C15" s="28"/>
      <c r="D15" s="28"/>
      <c r="E15" s="28"/>
      <c r="F15" s="28"/>
      <c r="G15" s="29">
        <f>B6*8.689*4</f>
        <v>18052.2664</v>
      </c>
    </row>
    <row r="16" spans="1:7" ht="15.75" hidden="1">
      <c r="A16" s="28" t="s">
        <v>29</v>
      </c>
      <c r="B16" s="28"/>
      <c r="C16" s="28"/>
      <c r="D16" s="28"/>
      <c r="E16" s="28"/>
      <c r="F16" s="28"/>
      <c r="G16" s="29">
        <f>B7*19.03*12</f>
        <v>0</v>
      </c>
    </row>
    <row r="17" spans="1:7" ht="15.75" hidden="1">
      <c r="A17" s="28" t="s">
        <v>30</v>
      </c>
      <c r="B17" s="28"/>
      <c r="C17" s="28"/>
      <c r="D17" s="28"/>
      <c r="E17" s="28"/>
      <c r="F17" s="28"/>
      <c r="G17" s="29">
        <f>B10*0.4523*12</f>
        <v>0</v>
      </c>
    </row>
    <row r="18" spans="1:7" ht="15.75">
      <c r="A18" s="28" t="s">
        <v>31</v>
      </c>
      <c r="B18" s="28"/>
      <c r="C18" s="28"/>
      <c r="D18" s="28"/>
      <c r="E18" s="28"/>
      <c r="F18" s="28"/>
      <c r="G18" s="29">
        <f>(B9*12.84/100*64)+(C9*9.63/100*38)+(D9*32.11/100*26)+(E9*2.41/100*5)</f>
        <v>26304.715099999998</v>
      </c>
    </row>
    <row r="19" spans="1:7" ht="15.75" customHeight="1">
      <c r="A19" s="30" t="s">
        <v>32</v>
      </c>
      <c r="B19" s="30"/>
      <c r="C19" s="30"/>
      <c r="D19" s="30"/>
      <c r="E19" s="30"/>
      <c r="F19" s="30"/>
      <c r="G19" s="31">
        <f>574906.73/199064.79*B3</f>
        <v>8331.701580058432</v>
      </c>
    </row>
    <row r="20" spans="1:7" ht="15.75">
      <c r="A20" s="28" t="s">
        <v>33</v>
      </c>
      <c r="B20" s="28"/>
      <c r="C20" s="28"/>
      <c r="D20" s="28"/>
      <c r="E20" s="28"/>
      <c r="F20" s="28"/>
      <c r="G20" s="29">
        <f>D11*0.14*2</f>
        <v>166.46</v>
      </c>
    </row>
    <row r="21" spans="1:7" ht="15.75" hidden="1">
      <c r="A21" s="28" t="s">
        <v>34</v>
      </c>
      <c r="B21" s="28"/>
      <c r="C21" s="28"/>
      <c r="D21" s="28"/>
      <c r="E21" s="28"/>
      <c r="F21" s="28"/>
      <c r="G21" s="29">
        <v>0</v>
      </c>
    </row>
    <row r="22" spans="1:7" ht="15.75">
      <c r="A22" s="28" t="s">
        <v>35</v>
      </c>
      <c r="B22" s="28"/>
      <c r="C22" s="28"/>
      <c r="D22" s="28"/>
      <c r="E22" s="28"/>
      <c r="F22" s="28"/>
      <c r="G22" s="29">
        <f>B3*0.845*4</f>
        <v>9750.962</v>
      </c>
    </row>
    <row r="23" spans="1:7" ht="15.75" hidden="1">
      <c r="A23" s="28" t="s">
        <v>36</v>
      </c>
      <c r="B23" s="28"/>
      <c r="C23" s="28"/>
      <c r="D23" s="28"/>
      <c r="E23" s="28"/>
      <c r="F23" s="28"/>
      <c r="G23" s="29">
        <v>0</v>
      </c>
    </row>
    <row r="24" spans="1:7" ht="15.75" hidden="1">
      <c r="A24" s="28" t="s">
        <v>37</v>
      </c>
      <c r="B24" s="28"/>
      <c r="C24" s="28"/>
      <c r="D24" s="28"/>
      <c r="E24" s="28"/>
      <c r="F24" s="28"/>
      <c r="G24" s="29">
        <v>0</v>
      </c>
    </row>
    <row r="25" spans="1:7" ht="15.75" hidden="1">
      <c r="A25" s="28" t="s">
        <v>38</v>
      </c>
      <c r="B25" s="28"/>
      <c r="C25" s="28"/>
      <c r="D25" s="28"/>
      <c r="E25" s="28"/>
      <c r="F25" s="28"/>
      <c r="G25" s="29">
        <v>0</v>
      </c>
    </row>
    <row r="26" spans="1:7" ht="15.75">
      <c r="A26" s="28" t="s">
        <v>39</v>
      </c>
      <c r="B26" s="28"/>
      <c r="C26" s="28"/>
      <c r="D26" s="28"/>
      <c r="E26" s="28"/>
      <c r="F26" s="28"/>
      <c r="G26" s="29">
        <f>1*352+1.5*251.46+2683.44</f>
        <v>3412.63</v>
      </c>
    </row>
    <row r="27" spans="1:7" ht="15.75" hidden="1">
      <c r="A27" s="28" t="s">
        <v>40</v>
      </c>
      <c r="B27" s="28"/>
      <c r="C27" s="28"/>
      <c r="D27" s="28"/>
      <c r="E27" s="28"/>
      <c r="F27" s="28"/>
      <c r="G27" s="29">
        <v>0</v>
      </c>
    </row>
    <row r="28" spans="1:7" ht="15.75" hidden="1">
      <c r="A28" s="28" t="s">
        <v>41</v>
      </c>
      <c r="B28" s="28"/>
      <c r="C28" s="28"/>
      <c r="D28" s="28"/>
      <c r="E28" s="28"/>
      <c r="F28" s="28"/>
      <c r="G28" s="29">
        <v>0</v>
      </c>
    </row>
    <row r="29" spans="1:7" ht="15.75" hidden="1">
      <c r="A29" s="28" t="s">
        <v>42</v>
      </c>
      <c r="B29" s="28"/>
      <c r="C29" s="28"/>
      <c r="D29" s="28"/>
      <c r="E29" s="28"/>
      <c r="F29" s="28"/>
      <c r="G29" s="29">
        <v>0</v>
      </c>
    </row>
    <row r="30" spans="1:7" ht="15.75">
      <c r="A30" s="28" t="s">
        <v>43</v>
      </c>
      <c r="B30" s="28"/>
      <c r="C30" s="28"/>
      <c r="D30" s="28"/>
      <c r="E30" s="28"/>
      <c r="F30" s="28"/>
      <c r="G30" s="29">
        <f>B3*1.75*4</f>
        <v>20194.3</v>
      </c>
    </row>
    <row r="31" spans="1:7" ht="15.75" customHeight="1">
      <c r="A31" s="30" t="s">
        <v>44</v>
      </c>
      <c r="B31" s="30"/>
      <c r="C31" s="30"/>
      <c r="D31" s="30"/>
      <c r="E31" s="30"/>
      <c r="F31" s="30"/>
      <c r="G31" s="29">
        <f>(F13*4*8.57)+(B13*2*3.14)+(C13*1*3.14)+(D13*1*3.14)</f>
        <v>1497.7800000000002</v>
      </c>
    </row>
    <row r="32" spans="1:7" ht="15.75">
      <c r="A32" s="28" t="s">
        <v>45</v>
      </c>
      <c r="B32" s="28"/>
      <c r="C32" s="28"/>
      <c r="D32" s="28"/>
      <c r="E32" s="28"/>
      <c r="F32" s="28"/>
      <c r="G32" s="29">
        <f>B3*0.65*4</f>
        <v>7500.740000000001</v>
      </c>
    </row>
    <row r="33" spans="1:7" ht="15.75">
      <c r="A33" s="28" t="s">
        <v>46</v>
      </c>
      <c r="B33" s="28"/>
      <c r="C33" s="28"/>
      <c r="D33" s="28"/>
      <c r="E33" s="28"/>
      <c r="F33" s="28"/>
      <c r="G33" s="29">
        <f>B3*0.2*4</f>
        <v>2307.92</v>
      </c>
    </row>
    <row r="34" spans="1:7" ht="15.75">
      <c r="A34" s="28" t="s">
        <v>47</v>
      </c>
      <c r="B34" s="28"/>
      <c r="C34" s="28"/>
      <c r="D34" s="28"/>
      <c r="E34" s="28"/>
      <c r="F34" s="28"/>
      <c r="G34" s="29">
        <f>B3*0.7*4</f>
        <v>8077.719999999999</v>
      </c>
    </row>
    <row r="35" spans="1:7" ht="15.75">
      <c r="A35" s="26" t="s">
        <v>48</v>
      </c>
      <c r="B35" s="26"/>
      <c r="C35" s="26"/>
      <c r="D35" s="26"/>
      <c r="E35" s="26"/>
      <c r="F35" s="26"/>
      <c r="G35" s="32">
        <f>G15+G16+G17+G18+G19+G20+G21+G22+G23+G24+G26+G30+G31+G32+G33+G34+G27+G28+G29+G25</f>
        <v>105597.19508005843</v>
      </c>
    </row>
    <row r="36" spans="1:7" ht="20.25" customHeight="1">
      <c r="A36" s="33" t="s">
        <v>49</v>
      </c>
      <c r="B36" s="33"/>
      <c r="C36" s="33"/>
      <c r="D36" s="33"/>
      <c r="E36" s="33"/>
      <c r="F36" s="33"/>
      <c r="G36" s="29"/>
    </row>
    <row r="37" spans="1:7" ht="15.75" hidden="1">
      <c r="A37" s="28" t="s">
        <v>50</v>
      </c>
      <c r="B37" s="28"/>
      <c r="C37" s="28"/>
      <c r="D37" s="28"/>
      <c r="E37" s="28"/>
      <c r="F37" s="28"/>
      <c r="G37" s="29">
        <f>B3*3.47*12</f>
        <v>120127.236</v>
      </c>
    </row>
    <row r="38" spans="1:7" ht="15.75">
      <c r="A38" s="28" t="s">
        <v>51</v>
      </c>
      <c r="B38" s="28"/>
      <c r="C38" s="28"/>
      <c r="D38" s="28"/>
      <c r="E38" s="28"/>
      <c r="F38" s="28"/>
      <c r="G38" s="29"/>
    </row>
    <row r="39" spans="1:7" ht="15.75" hidden="1">
      <c r="A39" s="34" t="s">
        <v>52</v>
      </c>
      <c r="B39" s="34"/>
      <c r="C39" s="34"/>
      <c r="D39" s="34"/>
      <c r="E39" s="34"/>
      <c r="F39" s="34"/>
      <c r="G39" s="29"/>
    </row>
    <row r="40" spans="1:7" ht="15.75" hidden="1">
      <c r="A40" s="34" t="s">
        <v>53</v>
      </c>
      <c r="B40" s="34"/>
      <c r="C40" s="34"/>
      <c r="D40" s="34"/>
      <c r="E40" s="34"/>
      <c r="F40" s="34"/>
      <c r="G40" s="29"/>
    </row>
    <row r="41" spans="1:7" ht="15.75" hidden="1">
      <c r="A41" s="34" t="s">
        <v>54</v>
      </c>
      <c r="B41" s="34"/>
      <c r="C41" s="34"/>
      <c r="D41" s="34"/>
      <c r="E41" s="34"/>
      <c r="F41" s="34"/>
      <c r="G41" s="29"/>
    </row>
    <row r="42" spans="1:7" ht="15.75" hidden="1">
      <c r="A42" s="34" t="s">
        <v>129</v>
      </c>
      <c r="B42" s="34"/>
      <c r="C42" s="34"/>
      <c r="D42" s="34"/>
      <c r="E42" s="34"/>
      <c r="F42" s="34"/>
      <c r="G42" s="29"/>
    </row>
    <row r="43" spans="1:7" ht="15.75" hidden="1">
      <c r="A43" s="34" t="s">
        <v>56</v>
      </c>
      <c r="B43" s="34"/>
      <c r="C43" s="34"/>
      <c r="D43" s="34"/>
      <c r="E43" s="34"/>
      <c r="F43" s="34"/>
      <c r="G43" s="29"/>
    </row>
    <row r="44" spans="1:7" ht="15.75" hidden="1">
      <c r="A44" s="34" t="s">
        <v>57</v>
      </c>
      <c r="B44" s="34"/>
      <c r="C44" s="34"/>
      <c r="D44" s="34"/>
      <c r="E44" s="34"/>
      <c r="F44" s="34"/>
      <c r="G44" s="29"/>
    </row>
    <row r="45" spans="1:7" ht="15.75">
      <c r="A45" s="34" t="s">
        <v>58</v>
      </c>
      <c r="B45" s="34"/>
      <c r="C45" s="34"/>
      <c r="D45" s="34"/>
      <c r="E45" s="34"/>
      <c r="F45" s="34"/>
      <c r="G45" s="29">
        <v>168</v>
      </c>
    </row>
    <row r="46" spans="1:7" ht="15.75">
      <c r="A46" s="34" t="s">
        <v>59</v>
      </c>
      <c r="B46" s="34"/>
      <c r="C46" s="34"/>
      <c r="D46" s="34"/>
      <c r="E46" s="34"/>
      <c r="F46" s="34"/>
      <c r="G46" s="29">
        <v>24010</v>
      </c>
    </row>
    <row r="47" spans="1:7" ht="15.75" hidden="1">
      <c r="A47" s="34" t="s">
        <v>60</v>
      </c>
      <c r="B47" s="34"/>
      <c r="C47" s="34"/>
      <c r="D47" s="34"/>
      <c r="E47" s="34"/>
      <c r="F47" s="34"/>
      <c r="G47" s="29"/>
    </row>
    <row r="48" spans="1:7" ht="15.75" hidden="1">
      <c r="A48" s="34" t="s">
        <v>61</v>
      </c>
      <c r="B48" s="34"/>
      <c r="C48" s="34"/>
      <c r="D48" s="34"/>
      <c r="E48" s="34"/>
      <c r="F48" s="34"/>
      <c r="G48" s="29"/>
    </row>
    <row r="49" spans="1:7" ht="15.75" hidden="1">
      <c r="A49" s="34" t="s">
        <v>62</v>
      </c>
      <c r="B49" s="34"/>
      <c r="C49" s="34"/>
      <c r="D49" s="34"/>
      <c r="E49" s="34"/>
      <c r="F49" s="34"/>
      <c r="G49" s="29"/>
    </row>
    <row r="50" spans="1:7" ht="15.75">
      <c r="A50" s="34" t="s">
        <v>63</v>
      </c>
      <c r="B50" s="34"/>
      <c r="C50" s="34"/>
      <c r="D50" s="34"/>
      <c r="E50" s="34"/>
      <c r="F50" s="34"/>
      <c r="G50" s="29">
        <v>8640</v>
      </c>
    </row>
    <row r="51" spans="1:7" ht="15.75" hidden="1">
      <c r="A51" s="34" t="s">
        <v>64</v>
      </c>
      <c r="B51" s="34"/>
      <c r="C51" s="34"/>
      <c r="D51" s="34"/>
      <c r="E51" s="34"/>
      <c r="F51" s="34"/>
      <c r="G51" s="29"/>
    </row>
    <row r="52" spans="1:7" ht="15.75" hidden="1">
      <c r="A52" s="34" t="s">
        <v>65</v>
      </c>
      <c r="B52" s="34"/>
      <c r="C52" s="34"/>
      <c r="D52" s="34"/>
      <c r="E52" s="34"/>
      <c r="F52" s="34"/>
      <c r="G52" s="29"/>
    </row>
    <row r="53" spans="1:7" ht="15.75" customHeight="1">
      <c r="A53" s="33" t="s">
        <v>66</v>
      </c>
      <c r="B53" s="33"/>
      <c r="C53" s="33"/>
      <c r="D53" s="33"/>
      <c r="E53" s="33"/>
      <c r="F53" s="33"/>
      <c r="G53" s="32">
        <f>G39+G40+G41+G42+G43+G44+G45+G46+G47+G48+G49+G50+G51+G52</f>
        <v>32818</v>
      </c>
    </row>
    <row r="54" spans="1:7" ht="15.75" customHeight="1">
      <c r="A54" s="33" t="s">
        <v>67</v>
      </c>
      <c r="B54" s="33"/>
      <c r="C54" s="33"/>
      <c r="D54" s="33"/>
      <c r="E54" s="33"/>
      <c r="F54" s="33"/>
      <c r="G54" s="32">
        <f>G35+G53</f>
        <v>138415.19508005842</v>
      </c>
    </row>
    <row r="55" spans="1:7" ht="15.75" hidden="1">
      <c r="A55" s="28" t="s">
        <v>68</v>
      </c>
      <c r="B55" s="28"/>
      <c r="C55" s="28"/>
      <c r="D55" s="28"/>
      <c r="E55" s="28"/>
      <c r="F55" s="28"/>
      <c r="G55" s="29">
        <v>0</v>
      </c>
    </row>
    <row r="56" spans="1:7" ht="15.75">
      <c r="A56" s="41" t="s">
        <v>69</v>
      </c>
      <c r="B56" s="41"/>
      <c r="C56" s="41"/>
      <c r="D56" s="41"/>
      <c r="E56" s="41"/>
      <c r="F56" s="41"/>
      <c r="G56" s="29">
        <f>281.58*4+141.6*4+141.6*4+180*4</f>
        <v>2979.12</v>
      </c>
    </row>
    <row r="57" spans="1:7" ht="15.75" customHeight="1">
      <c r="A57" s="42" t="s">
        <v>70</v>
      </c>
      <c r="B57" s="42"/>
      <c r="C57" s="42"/>
      <c r="D57" s="42"/>
      <c r="E57" s="42"/>
      <c r="F57" s="42"/>
      <c r="G57" s="32">
        <f>B3*B5*4+G56</f>
        <v>133376.6</v>
      </c>
    </row>
    <row r="58" spans="1:7" ht="15.75" customHeight="1">
      <c r="A58" s="43" t="s">
        <v>71</v>
      </c>
      <c r="B58" s="43"/>
      <c r="C58" s="43"/>
      <c r="D58" s="43"/>
      <c r="E58" s="43"/>
      <c r="F58" s="43"/>
      <c r="G58" s="44">
        <v>27753.25</v>
      </c>
    </row>
    <row r="59" spans="1:7" ht="64.5" customHeight="1">
      <c r="A59" s="33" t="s">
        <v>82</v>
      </c>
      <c r="B59" s="33"/>
      <c r="C59" s="33"/>
      <c r="D59" s="33"/>
      <c r="E59" s="33"/>
      <c r="F59" s="33"/>
      <c r="G59" s="32">
        <f>G54-G57-G55+G58</f>
        <v>32791.84508005841</v>
      </c>
    </row>
  </sheetData>
  <sheetProtection selectLockedCells="1" selectUnlockedCells="1"/>
  <mergeCells count="48">
    <mergeCell ref="A1:G1"/>
    <mergeCell ref="B2:E2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3"/>
  </sheetPr>
  <dimension ref="A1:G59"/>
  <sheetViews>
    <sheetView zoomScale="75" zoomScaleNormal="75" workbookViewId="0" topLeftCell="A21">
      <pane ySplit="65535" topLeftCell="A21" activePane="topLeft" state="split"/>
      <selection pane="topLeft" activeCell="G58" activeCellId="1" sqref="A77:G138 G58"/>
      <selection pane="bottomLeft" activeCell="A21" sqref="A21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4.421875" style="1" customWidth="1"/>
    <col min="8" max="16384" width="9.140625" style="1" customWidth="1"/>
  </cols>
  <sheetData>
    <row r="1" spans="1:7" ht="40.5" customHeight="1">
      <c r="A1" s="5" t="s">
        <v>131</v>
      </c>
      <c r="B1" s="5"/>
      <c r="C1" s="5"/>
      <c r="D1" s="5"/>
      <c r="E1" s="5"/>
      <c r="F1" s="5"/>
      <c r="G1" s="5"/>
    </row>
    <row r="2" spans="1:7" ht="18.75">
      <c r="A2" s="6" t="s">
        <v>73</v>
      </c>
      <c r="B2" s="7" t="s">
        <v>132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75</v>
      </c>
      <c r="B3" s="10">
        <v>3122</v>
      </c>
      <c r="F3" s="8" t="s">
        <v>5</v>
      </c>
      <c r="G3" s="11">
        <v>4</v>
      </c>
    </row>
    <row r="4" spans="1:7" ht="18.75">
      <c r="A4" s="12" t="s">
        <v>76</v>
      </c>
      <c r="B4" s="13"/>
      <c r="F4" s="8" t="s">
        <v>8</v>
      </c>
      <c r="G4" s="9">
        <v>1963</v>
      </c>
    </row>
    <row r="5" spans="1:3" ht="16.5" customHeight="1">
      <c r="A5" s="12" t="s">
        <v>76</v>
      </c>
      <c r="B5" s="13">
        <v>9.49</v>
      </c>
      <c r="C5" s="1" t="s">
        <v>9</v>
      </c>
    </row>
    <row r="6" spans="1:7" ht="18.75" hidden="1">
      <c r="A6" s="14" t="s">
        <v>10</v>
      </c>
      <c r="B6" s="15">
        <v>245.6</v>
      </c>
      <c r="C6" s="16"/>
      <c r="D6" s="16"/>
      <c r="E6" s="16"/>
      <c r="F6" s="16"/>
      <c r="G6" s="16"/>
    </row>
    <row r="7" spans="1:7" ht="18.75" hidden="1">
      <c r="A7" s="14" t="s">
        <v>12</v>
      </c>
      <c r="B7" s="17">
        <v>0</v>
      </c>
      <c r="C7" s="16"/>
      <c r="D7" s="16"/>
      <c r="E7" s="16"/>
      <c r="F7" s="16"/>
      <c r="G7" s="16"/>
    </row>
    <row r="8" spans="1:7" ht="38.25" customHeight="1" hidden="1">
      <c r="A8" s="18" t="s">
        <v>13</v>
      </c>
      <c r="B8" s="19" t="s">
        <v>14</v>
      </c>
      <c r="C8" s="19" t="s">
        <v>15</v>
      </c>
      <c r="D8" s="19" t="s">
        <v>16</v>
      </c>
      <c r="E8" s="19" t="s">
        <v>17</v>
      </c>
      <c r="F8" s="16"/>
      <c r="G8" s="16"/>
    </row>
    <row r="9" spans="1:7" ht="20.25" customHeight="1" hidden="1">
      <c r="A9" s="14"/>
      <c r="B9" s="17">
        <v>991</v>
      </c>
      <c r="C9" s="17">
        <v>2250</v>
      </c>
      <c r="D9" s="17">
        <v>526</v>
      </c>
      <c r="E9" s="17">
        <v>2715</v>
      </c>
      <c r="F9" s="16"/>
      <c r="G9" s="16"/>
    </row>
    <row r="10" spans="1:7" ht="18.75" hidden="1">
      <c r="A10" s="14" t="s">
        <v>18</v>
      </c>
      <c r="B10" s="20">
        <v>0</v>
      </c>
      <c r="C10" s="16"/>
      <c r="D10" s="16"/>
      <c r="E10" s="16"/>
      <c r="F10" s="16"/>
      <c r="G10" s="16"/>
    </row>
    <row r="11" spans="1:7" ht="19.5" hidden="1">
      <c r="A11" s="14" t="s">
        <v>19</v>
      </c>
      <c r="B11" s="20">
        <v>872</v>
      </c>
      <c r="C11" s="20">
        <v>631</v>
      </c>
      <c r="D11" s="20">
        <f>B11+C11</f>
        <v>1503</v>
      </c>
      <c r="E11" s="16"/>
      <c r="F11" s="16"/>
      <c r="G11" s="16"/>
    </row>
    <row r="12" spans="1:7" ht="50.25" customHeight="1" hidden="1">
      <c r="A12" s="14" t="s">
        <v>20</v>
      </c>
      <c r="B12" s="19" t="s">
        <v>21</v>
      </c>
      <c r="C12" s="21" t="s">
        <v>22</v>
      </c>
      <c r="D12" s="19" t="s">
        <v>23</v>
      </c>
      <c r="E12" s="22" t="s">
        <v>24</v>
      </c>
      <c r="F12" s="17" t="s">
        <v>25</v>
      </c>
      <c r="G12" s="16"/>
    </row>
    <row r="13" spans="1:7" ht="23.25" customHeight="1" hidden="1">
      <c r="A13" s="23"/>
      <c r="B13" s="24">
        <v>80</v>
      </c>
      <c r="C13" s="24">
        <v>0</v>
      </c>
      <c r="D13" s="24">
        <v>80</v>
      </c>
      <c r="E13" s="25">
        <f>D13+C13+B13</f>
        <v>160</v>
      </c>
      <c r="F13" s="17">
        <v>0</v>
      </c>
      <c r="G13" s="16"/>
    </row>
    <row r="14" spans="1:7" ht="18.75" customHeight="1">
      <c r="A14" s="26" t="s">
        <v>26</v>
      </c>
      <c r="B14" s="26"/>
      <c r="C14" s="26"/>
      <c r="D14" s="26"/>
      <c r="E14" s="26"/>
      <c r="F14" s="26"/>
      <c r="G14" s="27" t="s">
        <v>27</v>
      </c>
    </row>
    <row r="15" spans="1:7" ht="15.75">
      <c r="A15" s="28" t="s">
        <v>28</v>
      </c>
      <c r="B15" s="28"/>
      <c r="C15" s="28"/>
      <c r="D15" s="28"/>
      <c r="E15" s="28"/>
      <c r="F15" s="28"/>
      <c r="G15" s="29">
        <f>B6*7.012*4</f>
        <v>6888.5887999999995</v>
      </c>
    </row>
    <row r="16" spans="1:7" ht="15.75" hidden="1">
      <c r="A16" s="28" t="s">
        <v>29</v>
      </c>
      <c r="B16" s="28"/>
      <c r="C16" s="28"/>
      <c r="D16" s="28"/>
      <c r="E16" s="28"/>
      <c r="F16" s="28"/>
      <c r="G16" s="29">
        <f>B7*35.705*12</f>
        <v>0</v>
      </c>
    </row>
    <row r="17" spans="1:7" ht="15.75" hidden="1">
      <c r="A17" s="28" t="s">
        <v>30</v>
      </c>
      <c r="B17" s="28"/>
      <c r="C17" s="28"/>
      <c r="D17" s="28"/>
      <c r="E17" s="28"/>
      <c r="F17" s="28"/>
      <c r="G17" s="29">
        <f>B10*0.3613*12</f>
        <v>0</v>
      </c>
    </row>
    <row r="18" spans="1:7" ht="15.75">
      <c r="A18" s="28" t="s">
        <v>31</v>
      </c>
      <c r="B18" s="28"/>
      <c r="C18" s="28"/>
      <c r="D18" s="28"/>
      <c r="E18" s="28"/>
      <c r="F18" s="28"/>
      <c r="G18" s="29">
        <f>(B9*9.46/100*64)+(C9*7.09/100*38)+(D9*23.66/100*26)+(E9*1.77/100*5)</f>
        <v>15537.879500000001</v>
      </c>
    </row>
    <row r="19" spans="1:7" ht="15.75" customHeight="1">
      <c r="A19" s="30" t="s">
        <v>32</v>
      </c>
      <c r="B19" s="30"/>
      <c r="C19" s="30"/>
      <c r="D19" s="30"/>
      <c r="E19" s="30"/>
      <c r="F19" s="30"/>
      <c r="G19" s="31">
        <f>574906.73/199064.79*B3</f>
        <v>9016.45545181546</v>
      </c>
    </row>
    <row r="20" spans="1:7" ht="15.75">
      <c r="A20" s="28" t="s">
        <v>33</v>
      </c>
      <c r="B20" s="28"/>
      <c r="C20" s="28"/>
      <c r="D20" s="28"/>
      <c r="E20" s="28"/>
      <c r="F20" s="28"/>
      <c r="G20" s="29">
        <f>D11*0.14*2</f>
        <v>420.84000000000003</v>
      </c>
    </row>
    <row r="21" spans="1:7" ht="15.75">
      <c r="A21" s="28" t="s">
        <v>34</v>
      </c>
      <c r="B21" s="28"/>
      <c r="C21" s="28"/>
      <c r="D21" s="28"/>
      <c r="E21" s="28"/>
      <c r="F21" s="28"/>
      <c r="G21" s="29">
        <f>95.95+4078.08+1055.39+4413.39</f>
        <v>9642.810000000001</v>
      </c>
    </row>
    <row r="22" spans="1:7" ht="15.75">
      <c r="A22" s="28" t="s">
        <v>35</v>
      </c>
      <c r="B22" s="28"/>
      <c r="C22" s="28"/>
      <c r="D22" s="28"/>
      <c r="E22" s="28"/>
      <c r="F22" s="28"/>
      <c r="G22" s="29">
        <f>B3*0.845*4</f>
        <v>10552.359999999999</v>
      </c>
    </row>
    <row r="23" spans="1:7" ht="15.75" hidden="1">
      <c r="A23" s="28" t="s">
        <v>36</v>
      </c>
      <c r="B23" s="28"/>
      <c r="C23" s="28"/>
      <c r="D23" s="28"/>
      <c r="E23" s="28"/>
      <c r="F23" s="28"/>
      <c r="G23" s="29">
        <v>0</v>
      </c>
    </row>
    <row r="24" spans="1:7" ht="15.75" hidden="1">
      <c r="A24" s="28" t="s">
        <v>37</v>
      </c>
      <c r="B24" s="28"/>
      <c r="C24" s="28"/>
      <c r="D24" s="28"/>
      <c r="E24" s="28"/>
      <c r="F24" s="28"/>
      <c r="G24" s="29">
        <v>0</v>
      </c>
    </row>
    <row r="25" spans="1:7" ht="15.75" hidden="1">
      <c r="A25" s="28" t="s">
        <v>38</v>
      </c>
      <c r="B25" s="28"/>
      <c r="C25" s="28"/>
      <c r="D25" s="28"/>
      <c r="E25" s="28"/>
      <c r="F25" s="28"/>
      <c r="G25" s="29">
        <v>0</v>
      </c>
    </row>
    <row r="26" spans="1:7" ht="15.75">
      <c r="A26" s="28" t="s">
        <v>39</v>
      </c>
      <c r="B26" s="28"/>
      <c r="C26" s="28"/>
      <c r="D26" s="28"/>
      <c r="E26" s="28"/>
      <c r="F26" s="28"/>
      <c r="G26" s="29">
        <f>4*352+4*251.46</f>
        <v>2413.84</v>
      </c>
    </row>
    <row r="27" spans="1:7" ht="15.75" hidden="1">
      <c r="A27" s="28" t="s">
        <v>40</v>
      </c>
      <c r="B27" s="28"/>
      <c r="C27" s="28"/>
      <c r="D27" s="28"/>
      <c r="E27" s="28"/>
      <c r="F27" s="28"/>
      <c r="G27" s="29">
        <v>0</v>
      </c>
    </row>
    <row r="28" spans="1:7" ht="15.75" hidden="1">
      <c r="A28" s="28" t="s">
        <v>41</v>
      </c>
      <c r="B28" s="28"/>
      <c r="C28" s="28"/>
      <c r="D28" s="28"/>
      <c r="E28" s="28"/>
      <c r="F28" s="28"/>
      <c r="G28" s="29">
        <v>0</v>
      </c>
    </row>
    <row r="29" spans="1:7" ht="15.75" hidden="1">
      <c r="A29" s="28" t="s">
        <v>42</v>
      </c>
      <c r="B29" s="28"/>
      <c r="C29" s="28"/>
      <c r="D29" s="28"/>
      <c r="E29" s="28"/>
      <c r="F29" s="28"/>
      <c r="G29" s="29">
        <v>0</v>
      </c>
    </row>
    <row r="30" spans="1:7" ht="15.75">
      <c r="A30" s="28" t="s">
        <v>43</v>
      </c>
      <c r="B30" s="28"/>
      <c r="C30" s="28"/>
      <c r="D30" s="28"/>
      <c r="E30" s="28"/>
      <c r="F30" s="28"/>
      <c r="G30" s="29">
        <f>B3*1.75*4</f>
        <v>21854</v>
      </c>
    </row>
    <row r="31" spans="1:7" ht="15.75" customHeight="1">
      <c r="A31" s="30" t="s">
        <v>44</v>
      </c>
      <c r="B31" s="30"/>
      <c r="C31" s="30"/>
      <c r="D31" s="30"/>
      <c r="E31" s="30"/>
      <c r="F31" s="30"/>
      <c r="G31" s="29">
        <f>(F13*4*8.57)+(B13*2*3.14)+(C13*1*3.14)+(D13*1*3.14)</f>
        <v>753.6</v>
      </c>
    </row>
    <row r="32" spans="1:7" ht="15.75">
      <c r="A32" s="28" t="s">
        <v>45</v>
      </c>
      <c r="B32" s="28"/>
      <c r="C32" s="28"/>
      <c r="D32" s="28"/>
      <c r="E32" s="28"/>
      <c r="F32" s="28"/>
      <c r="G32" s="29">
        <f>B3*0.65*4</f>
        <v>8117.200000000001</v>
      </c>
    </row>
    <row r="33" spans="1:7" ht="15.75">
      <c r="A33" s="28" t="s">
        <v>46</v>
      </c>
      <c r="B33" s="28"/>
      <c r="C33" s="28"/>
      <c r="D33" s="28"/>
      <c r="E33" s="28"/>
      <c r="F33" s="28"/>
      <c r="G33" s="29">
        <f>B3*0.2*4</f>
        <v>2497.6000000000004</v>
      </c>
    </row>
    <row r="34" spans="1:7" ht="15.75">
      <c r="A34" s="28" t="s">
        <v>47</v>
      </c>
      <c r="B34" s="28"/>
      <c r="C34" s="28"/>
      <c r="D34" s="28"/>
      <c r="E34" s="28"/>
      <c r="F34" s="28"/>
      <c r="G34" s="29">
        <f>B3*0.7*4</f>
        <v>8741.599999999999</v>
      </c>
    </row>
    <row r="35" spans="1:7" ht="15.75">
      <c r="A35" s="26" t="s">
        <v>48</v>
      </c>
      <c r="B35" s="26"/>
      <c r="C35" s="26"/>
      <c r="D35" s="26"/>
      <c r="E35" s="26"/>
      <c r="F35" s="26"/>
      <c r="G35" s="32">
        <f>G15+G16+G17+G18+G19+G20+G21+G22+G23+G24+G26+G30+G31+G32+G33+G34+G27+G28+G29+G25</f>
        <v>96436.77375181546</v>
      </c>
    </row>
    <row r="36" spans="1:7" ht="20.25" customHeight="1">
      <c r="A36" s="33" t="s">
        <v>49</v>
      </c>
      <c r="B36" s="33"/>
      <c r="C36" s="33"/>
      <c r="D36" s="33"/>
      <c r="E36" s="33"/>
      <c r="F36" s="33"/>
      <c r="G36" s="29"/>
    </row>
    <row r="37" spans="1:7" ht="15.75" hidden="1">
      <c r="A37" s="28" t="s">
        <v>50</v>
      </c>
      <c r="B37" s="28"/>
      <c r="C37" s="28"/>
      <c r="D37" s="28"/>
      <c r="E37" s="28"/>
      <c r="F37" s="28"/>
      <c r="G37" s="29">
        <f>B3*2.96*12</f>
        <v>110893.43999999999</v>
      </c>
    </row>
    <row r="38" spans="1:7" ht="15.75">
      <c r="A38" s="28" t="s">
        <v>51</v>
      </c>
      <c r="B38" s="28"/>
      <c r="C38" s="28"/>
      <c r="D38" s="28"/>
      <c r="E38" s="28"/>
      <c r="F38" s="28"/>
      <c r="G38" s="29"/>
    </row>
    <row r="39" spans="1:7" ht="15.75" hidden="1">
      <c r="A39" s="34" t="s">
        <v>52</v>
      </c>
      <c r="B39" s="34"/>
      <c r="C39" s="34"/>
      <c r="D39" s="34"/>
      <c r="E39" s="34"/>
      <c r="F39" s="34"/>
      <c r="G39" s="29"/>
    </row>
    <row r="40" spans="1:7" ht="15.75">
      <c r="A40" s="34" t="s">
        <v>53</v>
      </c>
      <c r="B40" s="34"/>
      <c r="C40" s="34"/>
      <c r="D40" s="34"/>
      <c r="E40" s="34"/>
      <c r="F40" s="34"/>
      <c r="G40" s="29">
        <v>1490</v>
      </c>
    </row>
    <row r="41" spans="1:7" ht="15.75" hidden="1">
      <c r="A41" s="34" t="s">
        <v>54</v>
      </c>
      <c r="B41" s="34"/>
      <c r="C41" s="34"/>
      <c r="D41" s="34"/>
      <c r="E41" s="34"/>
      <c r="F41" s="34"/>
      <c r="G41" s="29"/>
    </row>
    <row r="42" spans="1:7" ht="15.75" hidden="1">
      <c r="A42" s="34" t="s">
        <v>55</v>
      </c>
      <c r="B42" s="34"/>
      <c r="C42" s="34"/>
      <c r="D42" s="34"/>
      <c r="E42" s="34"/>
      <c r="F42" s="34"/>
      <c r="G42" s="29"/>
    </row>
    <row r="43" spans="1:7" ht="15.75" hidden="1">
      <c r="A43" s="34" t="s">
        <v>56</v>
      </c>
      <c r="B43" s="34"/>
      <c r="C43" s="34"/>
      <c r="D43" s="34"/>
      <c r="E43" s="34"/>
      <c r="F43" s="34"/>
      <c r="G43" s="29"/>
    </row>
    <row r="44" spans="1:7" ht="15.75" hidden="1">
      <c r="A44" s="34" t="s">
        <v>57</v>
      </c>
      <c r="B44" s="34"/>
      <c r="C44" s="34"/>
      <c r="D44" s="34"/>
      <c r="E44" s="34"/>
      <c r="F44" s="34"/>
      <c r="G44" s="29"/>
    </row>
    <row r="45" spans="1:7" ht="15.75">
      <c r="A45" s="34" t="s">
        <v>58</v>
      </c>
      <c r="B45" s="34"/>
      <c r="C45" s="34"/>
      <c r="D45" s="34"/>
      <c r="E45" s="34"/>
      <c r="F45" s="34"/>
      <c r="G45" s="29">
        <v>168</v>
      </c>
    </row>
    <row r="46" spans="1:7" ht="15.75">
      <c r="A46" s="34" t="s">
        <v>59</v>
      </c>
      <c r="B46" s="34"/>
      <c r="C46" s="34"/>
      <c r="D46" s="34"/>
      <c r="E46" s="34"/>
      <c r="F46" s="34"/>
      <c r="G46" s="29">
        <v>3640</v>
      </c>
    </row>
    <row r="47" spans="1:7" ht="15.75" hidden="1">
      <c r="A47" s="34" t="s">
        <v>60</v>
      </c>
      <c r="B47" s="34"/>
      <c r="C47" s="34"/>
      <c r="D47" s="34"/>
      <c r="E47" s="34"/>
      <c r="F47" s="34"/>
      <c r="G47" s="29"/>
    </row>
    <row r="48" spans="1:7" ht="15.75" hidden="1">
      <c r="A48" s="34" t="s">
        <v>61</v>
      </c>
      <c r="B48" s="34"/>
      <c r="C48" s="34"/>
      <c r="D48" s="34"/>
      <c r="E48" s="34"/>
      <c r="F48" s="34"/>
      <c r="G48" s="29"/>
    </row>
    <row r="49" spans="1:7" ht="15.75" hidden="1">
      <c r="A49" s="34" t="s">
        <v>62</v>
      </c>
      <c r="B49" s="34"/>
      <c r="C49" s="34"/>
      <c r="D49" s="34"/>
      <c r="E49" s="34"/>
      <c r="F49" s="34"/>
      <c r="G49" s="29"/>
    </row>
    <row r="50" spans="1:7" ht="15.75">
      <c r="A50" s="34" t="s">
        <v>63</v>
      </c>
      <c r="B50" s="34"/>
      <c r="C50" s="34"/>
      <c r="D50" s="34"/>
      <c r="E50" s="34"/>
      <c r="F50" s="34"/>
      <c r="G50" s="29">
        <v>3780</v>
      </c>
    </row>
    <row r="51" spans="1:7" ht="15.75" hidden="1">
      <c r="A51" s="34" t="s">
        <v>64</v>
      </c>
      <c r="B51" s="34"/>
      <c r="C51" s="34"/>
      <c r="D51" s="34"/>
      <c r="E51" s="34"/>
      <c r="F51" s="34"/>
      <c r="G51" s="29"/>
    </row>
    <row r="52" spans="1:7" ht="15.75" hidden="1">
      <c r="A52" s="34" t="s">
        <v>65</v>
      </c>
      <c r="B52" s="34"/>
      <c r="C52" s="34"/>
      <c r="D52" s="34"/>
      <c r="E52" s="34"/>
      <c r="F52" s="34"/>
      <c r="G52" s="29"/>
    </row>
    <row r="53" spans="1:7" ht="18.75" customHeight="1">
      <c r="A53" s="33" t="s">
        <v>66</v>
      </c>
      <c r="B53" s="33"/>
      <c r="C53" s="33"/>
      <c r="D53" s="33"/>
      <c r="E53" s="33"/>
      <c r="F53" s="33"/>
      <c r="G53" s="32">
        <f>G39+G40+G41+G42+G43+G44+G45+G46+G47+G48+G49+G50+G51+G52</f>
        <v>9078</v>
      </c>
    </row>
    <row r="54" spans="1:7" ht="21" customHeight="1">
      <c r="A54" s="33" t="s">
        <v>67</v>
      </c>
      <c r="B54" s="33"/>
      <c r="C54" s="33"/>
      <c r="D54" s="33"/>
      <c r="E54" s="33"/>
      <c r="F54" s="33"/>
      <c r="G54" s="32">
        <f>G35+G53</f>
        <v>105514.77375181546</v>
      </c>
    </row>
    <row r="55" spans="1:7" ht="15.75" hidden="1">
      <c r="A55" s="28" t="s">
        <v>68</v>
      </c>
      <c r="B55" s="28"/>
      <c r="C55" s="28"/>
      <c r="D55" s="28"/>
      <c r="E55" s="28"/>
      <c r="F55" s="28"/>
      <c r="G55" s="29">
        <v>0</v>
      </c>
    </row>
    <row r="56" spans="1:7" ht="15.75">
      <c r="A56" s="41" t="s">
        <v>69</v>
      </c>
      <c r="B56" s="41"/>
      <c r="C56" s="41"/>
      <c r="D56" s="41"/>
      <c r="E56" s="41"/>
      <c r="F56" s="41"/>
      <c r="G56" s="29">
        <f>281.58*4+141.6*4+180*4</f>
        <v>2412.72</v>
      </c>
    </row>
    <row r="57" spans="1:7" ht="15.75" customHeight="1">
      <c r="A57" s="42" t="s">
        <v>70</v>
      </c>
      <c r="B57" s="42"/>
      <c r="C57" s="42"/>
      <c r="D57" s="42"/>
      <c r="E57" s="42"/>
      <c r="F57" s="42"/>
      <c r="G57" s="32">
        <f>B3*B5*4+G56</f>
        <v>120923.84000000001</v>
      </c>
    </row>
    <row r="58" spans="1:7" ht="15.75" customHeight="1">
      <c r="A58" s="43" t="s">
        <v>71</v>
      </c>
      <c r="B58" s="43"/>
      <c r="C58" s="43"/>
      <c r="D58" s="43"/>
      <c r="E58" s="43"/>
      <c r="F58" s="43"/>
      <c r="G58" s="44">
        <v>9809.88</v>
      </c>
    </row>
    <row r="59" spans="1:7" ht="58.5" customHeight="1">
      <c r="A59" s="33" t="s">
        <v>80</v>
      </c>
      <c r="B59" s="33"/>
      <c r="C59" s="33"/>
      <c r="D59" s="33"/>
      <c r="E59" s="33"/>
      <c r="F59" s="33"/>
      <c r="G59" s="32">
        <f>G54-G57+G58-G55</f>
        <v>-5599.186248184551</v>
      </c>
    </row>
  </sheetData>
  <sheetProtection selectLockedCells="1" selectUnlockedCells="1"/>
  <mergeCells count="48">
    <mergeCell ref="A1:G1"/>
    <mergeCell ref="B2:E2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3"/>
  </sheetPr>
  <dimension ref="A1:G59"/>
  <sheetViews>
    <sheetView zoomScale="75" zoomScaleNormal="75" workbookViewId="0" topLeftCell="A21">
      <pane ySplit="65535" topLeftCell="A21" activePane="topLeft" state="split"/>
      <selection pane="topLeft" activeCell="G58" activeCellId="1" sqref="A77:G138 G58"/>
      <selection pane="bottomLeft" activeCell="A21" sqref="A21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6.7109375" style="1" customWidth="1"/>
    <col min="8" max="16384" width="9.140625" style="1" customWidth="1"/>
  </cols>
  <sheetData>
    <row r="1" spans="1:7" ht="40.5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73</v>
      </c>
      <c r="B2" s="7" t="s">
        <v>133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75</v>
      </c>
      <c r="B3" s="10">
        <v>3142.2</v>
      </c>
      <c r="F3" s="8" t="s">
        <v>5</v>
      </c>
      <c r="G3" s="11">
        <v>4</v>
      </c>
    </row>
    <row r="4" spans="1:7" ht="18.75">
      <c r="A4" s="12" t="s">
        <v>76</v>
      </c>
      <c r="B4" s="13"/>
      <c r="F4" s="8" t="s">
        <v>8</v>
      </c>
      <c r="G4" s="9">
        <v>1968</v>
      </c>
    </row>
    <row r="5" spans="1:3" ht="16.5" customHeight="1">
      <c r="A5" s="12" t="s">
        <v>76</v>
      </c>
      <c r="B5" s="13">
        <v>9.49</v>
      </c>
      <c r="C5" s="1" t="s">
        <v>9</v>
      </c>
    </row>
    <row r="6" spans="1:7" ht="18.75" hidden="1">
      <c r="A6" s="14" t="s">
        <v>10</v>
      </c>
      <c r="B6" s="15">
        <v>246.4</v>
      </c>
      <c r="C6" s="16"/>
      <c r="D6" s="16"/>
      <c r="E6" s="16"/>
      <c r="F6" s="16"/>
      <c r="G6" s="16"/>
    </row>
    <row r="7" spans="1:7" ht="18.75" hidden="1">
      <c r="A7" s="14" t="s">
        <v>12</v>
      </c>
      <c r="B7" s="17">
        <v>0</v>
      </c>
      <c r="C7" s="16"/>
      <c r="D7" s="16"/>
      <c r="E7" s="16"/>
      <c r="F7" s="16"/>
      <c r="G7" s="16"/>
    </row>
    <row r="8" spans="1:7" ht="38.25" customHeight="1" hidden="1">
      <c r="A8" s="18" t="s">
        <v>13</v>
      </c>
      <c r="B8" s="19" t="s">
        <v>14</v>
      </c>
      <c r="C8" s="19" t="s">
        <v>15</v>
      </c>
      <c r="D8" s="19" t="s">
        <v>16</v>
      </c>
      <c r="E8" s="19" t="s">
        <v>17</v>
      </c>
      <c r="F8" s="16"/>
      <c r="G8" s="16"/>
    </row>
    <row r="9" spans="1:7" ht="20.25" customHeight="1" hidden="1">
      <c r="A9" s="14"/>
      <c r="B9" s="17">
        <v>602</v>
      </c>
      <c r="C9" s="17">
        <v>2351</v>
      </c>
      <c r="D9" s="17">
        <v>542</v>
      </c>
      <c r="E9" s="17">
        <v>2411</v>
      </c>
      <c r="F9" s="16"/>
      <c r="G9" s="16"/>
    </row>
    <row r="10" spans="1:7" ht="18.75" hidden="1">
      <c r="A10" s="14" t="s">
        <v>18</v>
      </c>
      <c r="B10" s="20">
        <v>0</v>
      </c>
      <c r="C10" s="16"/>
      <c r="D10" s="16"/>
      <c r="E10" s="16"/>
      <c r="F10" s="16"/>
      <c r="G10" s="16"/>
    </row>
    <row r="11" spans="1:7" ht="19.5" hidden="1">
      <c r="A11" s="14" t="s">
        <v>19</v>
      </c>
      <c r="B11" s="20">
        <v>615</v>
      </c>
      <c r="C11" s="20">
        <v>628.4</v>
      </c>
      <c r="D11" s="20">
        <f>B11+C11</f>
        <v>1243.4</v>
      </c>
      <c r="E11" s="16"/>
      <c r="F11" s="16"/>
      <c r="G11" s="16"/>
    </row>
    <row r="12" spans="1:7" ht="50.25" customHeight="1" hidden="1">
      <c r="A12" s="14" t="s">
        <v>20</v>
      </c>
      <c r="B12" s="19" t="s">
        <v>21</v>
      </c>
      <c r="C12" s="21" t="s">
        <v>22</v>
      </c>
      <c r="D12" s="19" t="s">
        <v>23</v>
      </c>
      <c r="E12" s="22" t="s">
        <v>24</v>
      </c>
      <c r="F12" s="17" t="s">
        <v>25</v>
      </c>
      <c r="G12" s="16"/>
    </row>
    <row r="13" spans="1:7" ht="23.25" customHeight="1" hidden="1">
      <c r="A13" s="23"/>
      <c r="B13" s="24">
        <v>79</v>
      </c>
      <c r="C13" s="24">
        <v>79</v>
      </c>
      <c r="D13" s="24"/>
      <c r="E13" s="25">
        <f>D13+C13+B13</f>
        <v>158</v>
      </c>
      <c r="F13" s="17"/>
      <c r="G13" s="16"/>
    </row>
    <row r="14" spans="1:7" ht="18.75" customHeight="1">
      <c r="A14" s="26" t="s">
        <v>26</v>
      </c>
      <c r="B14" s="26"/>
      <c r="C14" s="26"/>
      <c r="D14" s="26"/>
      <c r="E14" s="26"/>
      <c r="F14" s="26"/>
      <c r="G14" s="27" t="s">
        <v>27</v>
      </c>
    </row>
    <row r="15" spans="1:7" ht="15.75">
      <c r="A15" s="28" t="s">
        <v>28</v>
      </c>
      <c r="B15" s="28"/>
      <c r="C15" s="28"/>
      <c r="D15" s="28"/>
      <c r="E15" s="28"/>
      <c r="F15" s="28"/>
      <c r="G15" s="29">
        <f>B6*7.012*4</f>
        <v>6911.0271999999995</v>
      </c>
    </row>
    <row r="16" spans="1:7" ht="15.75" hidden="1">
      <c r="A16" s="28" t="s">
        <v>29</v>
      </c>
      <c r="B16" s="28"/>
      <c r="C16" s="28"/>
      <c r="D16" s="28"/>
      <c r="E16" s="28"/>
      <c r="F16" s="28"/>
      <c r="G16" s="29">
        <f>B7*35.705*12</f>
        <v>0</v>
      </c>
    </row>
    <row r="17" spans="1:7" ht="15.75" hidden="1">
      <c r="A17" s="28" t="s">
        <v>30</v>
      </c>
      <c r="B17" s="28"/>
      <c r="C17" s="28"/>
      <c r="D17" s="28"/>
      <c r="E17" s="28"/>
      <c r="F17" s="28"/>
      <c r="G17" s="29">
        <f>B10*0.3613*12</f>
        <v>0</v>
      </c>
    </row>
    <row r="18" spans="1:7" ht="15.75">
      <c r="A18" s="28" t="s">
        <v>31</v>
      </c>
      <c r="B18" s="28"/>
      <c r="C18" s="28"/>
      <c r="D18" s="28"/>
      <c r="E18" s="28"/>
      <c r="F18" s="28"/>
      <c r="G18" s="29">
        <f>(B9*9.46/100*64)+(C9*7.09/100*38)+(D9*23.66/100*26)+(E9*1.77/100*5)</f>
        <v>13526.3537</v>
      </c>
    </row>
    <row r="19" spans="1:7" ht="15.75" customHeight="1">
      <c r="A19" s="30" t="s">
        <v>32</v>
      </c>
      <c r="B19" s="30"/>
      <c r="C19" s="30"/>
      <c r="D19" s="30"/>
      <c r="E19" s="30"/>
      <c r="F19" s="30"/>
      <c r="G19" s="31">
        <f>574906.73/199064.79*B3</f>
        <v>9074.79382469396</v>
      </c>
    </row>
    <row r="20" spans="1:7" ht="15.75">
      <c r="A20" s="28" t="s">
        <v>33</v>
      </c>
      <c r="B20" s="28"/>
      <c r="C20" s="28"/>
      <c r="D20" s="28"/>
      <c r="E20" s="28"/>
      <c r="F20" s="28"/>
      <c r="G20" s="29">
        <f>D11*0.14*2</f>
        <v>348.15200000000004</v>
      </c>
    </row>
    <row r="21" spans="1:7" ht="15.75">
      <c r="A21" s="28" t="s">
        <v>34</v>
      </c>
      <c r="B21" s="28"/>
      <c r="C21" s="28"/>
      <c r="D21" s="28"/>
      <c r="E21" s="28"/>
      <c r="F21" s="28"/>
      <c r="G21" s="29">
        <f>95.95+4078.08+1055.39+4413.39</f>
        <v>9642.810000000001</v>
      </c>
    </row>
    <row r="22" spans="1:7" ht="15.75">
      <c r="A22" s="28" t="s">
        <v>35</v>
      </c>
      <c r="B22" s="28"/>
      <c r="C22" s="28"/>
      <c r="D22" s="28"/>
      <c r="E22" s="28"/>
      <c r="F22" s="28"/>
      <c r="G22" s="29">
        <f>B3*0.845*4</f>
        <v>10620.635999999999</v>
      </c>
    </row>
    <row r="23" spans="1:7" ht="15.75" hidden="1">
      <c r="A23" s="28" t="s">
        <v>36</v>
      </c>
      <c r="B23" s="28"/>
      <c r="C23" s="28"/>
      <c r="D23" s="28"/>
      <c r="E23" s="28"/>
      <c r="F23" s="28"/>
      <c r="G23" s="29">
        <v>0</v>
      </c>
    </row>
    <row r="24" spans="1:7" ht="15.75" hidden="1">
      <c r="A24" s="28" t="s">
        <v>37</v>
      </c>
      <c r="B24" s="28"/>
      <c r="C24" s="28"/>
      <c r="D24" s="28"/>
      <c r="E24" s="28"/>
      <c r="F24" s="28"/>
      <c r="G24" s="29">
        <v>0</v>
      </c>
    </row>
    <row r="25" spans="1:7" ht="15.75" hidden="1">
      <c r="A25" s="28" t="s">
        <v>38</v>
      </c>
      <c r="B25" s="28"/>
      <c r="C25" s="28"/>
      <c r="D25" s="28"/>
      <c r="E25" s="28"/>
      <c r="F25" s="28"/>
      <c r="G25" s="29">
        <v>0</v>
      </c>
    </row>
    <row r="26" spans="1:7" ht="15.75">
      <c r="A26" s="28" t="s">
        <v>39</v>
      </c>
      <c r="B26" s="28"/>
      <c r="C26" s="28"/>
      <c r="D26" s="28"/>
      <c r="E26" s="28"/>
      <c r="F26" s="28"/>
      <c r="G26" s="29">
        <f>4*352+4*251.46</f>
        <v>2413.84</v>
      </c>
    </row>
    <row r="27" spans="1:7" ht="15.75" hidden="1">
      <c r="A27" s="28" t="s">
        <v>40</v>
      </c>
      <c r="B27" s="28"/>
      <c r="C27" s="28"/>
      <c r="D27" s="28"/>
      <c r="E27" s="28"/>
      <c r="F27" s="28"/>
      <c r="G27" s="29">
        <v>0</v>
      </c>
    </row>
    <row r="28" spans="1:7" ht="15.75" hidden="1">
      <c r="A28" s="28" t="s">
        <v>41</v>
      </c>
      <c r="B28" s="28"/>
      <c r="C28" s="28"/>
      <c r="D28" s="28"/>
      <c r="E28" s="28"/>
      <c r="F28" s="28"/>
      <c r="G28" s="29">
        <v>0</v>
      </c>
    </row>
    <row r="29" spans="1:7" ht="15.75" hidden="1">
      <c r="A29" s="28" t="s">
        <v>42</v>
      </c>
      <c r="B29" s="28"/>
      <c r="C29" s="28"/>
      <c r="D29" s="28"/>
      <c r="E29" s="28"/>
      <c r="F29" s="28"/>
      <c r="G29" s="29">
        <v>0</v>
      </c>
    </row>
    <row r="30" spans="1:7" ht="15.75">
      <c r="A30" s="28" t="s">
        <v>43</v>
      </c>
      <c r="B30" s="28"/>
      <c r="C30" s="28"/>
      <c r="D30" s="28"/>
      <c r="E30" s="28"/>
      <c r="F30" s="28"/>
      <c r="G30" s="29">
        <f>B3*1.75*4</f>
        <v>21995.399999999998</v>
      </c>
    </row>
    <row r="31" spans="1:7" ht="15.75" customHeight="1">
      <c r="A31" s="30" t="s">
        <v>44</v>
      </c>
      <c r="B31" s="30"/>
      <c r="C31" s="30"/>
      <c r="D31" s="30"/>
      <c r="E31" s="30"/>
      <c r="F31" s="30"/>
      <c r="G31" s="29">
        <f>(F13*4*8.57)+(B13*2*3.14)+(C13*1*3.14)+(D13*1*3.14)</f>
        <v>744.1800000000001</v>
      </c>
    </row>
    <row r="32" spans="1:7" ht="15.75">
      <c r="A32" s="28" t="s">
        <v>45</v>
      </c>
      <c r="B32" s="28"/>
      <c r="C32" s="28"/>
      <c r="D32" s="28"/>
      <c r="E32" s="28"/>
      <c r="F32" s="28"/>
      <c r="G32" s="29">
        <f>B3*0.65*4</f>
        <v>8169.72</v>
      </c>
    </row>
    <row r="33" spans="1:7" ht="15.75">
      <c r="A33" s="28" t="s">
        <v>46</v>
      </c>
      <c r="B33" s="28"/>
      <c r="C33" s="28"/>
      <c r="D33" s="28"/>
      <c r="E33" s="28"/>
      <c r="F33" s="28"/>
      <c r="G33" s="29">
        <f>B3*0.2*4</f>
        <v>2513.76</v>
      </c>
    </row>
    <row r="34" spans="1:7" ht="15.75">
      <c r="A34" s="28" t="s">
        <v>47</v>
      </c>
      <c r="B34" s="28"/>
      <c r="C34" s="28"/>
      <c r="D34" s="28"/>
      <c r="E34" s="28"/>
      <c r="F34" s="28"/>
      <c r="G34" s="29">
        <f>B3*0.7*4</f>
        <v>8798.159999999998</v>
      </c>
    </row>
    <row r="35" spans="1:7" ht="15.75">
      <c r="A35" s="26" t="s">
        <v>48</v>
      </c>
      <c r="B35" s="26"/>
      <c r="C35" s="26"/>
      <c r="D35" s="26"/>
      <c r="E35" s="26"/>
      <c r="F35" s="26"/>
      <c r="G35" s="32">
        <f>G15+G16+G17+G18+G19+G20+G21+G22+G23+G24+G26+G30+G31+G32+G33+G34+G27+G28+G29+G25</f>
        <v>94758.83272469394</v>
      </c>
    </row>
    <row r="36" spans="1:7" ht="20.25" customHeight="1">
      <c r="A36" s="33" t="s">
        <v>49</v>
      </c>
      <c r="B36" s="33"/>
      <c r="C36" s="33"/>
      <c r="D36" s="33"/>
      <c r="E36" s="33"/>
      <c r="F36" s="33"/>
      <c r="G36" s="29"/>
    </row>
    <row r="37" spans="1:7" ht="15.75" hidden="1">
      <c r="A37" s="28" t="s">
        <v>50</v>
      </c>
      <c r="B37" s="28"/>
      <c r="C37" s="28"/>
      <c r="D37" s="28"/>
      <c r="E37" s="28"/>
      <c r="F37" s="28"/>
      <c r="G37" s="29">
        <f>B3*2.96*12</f>
        <v>111610.94399999999</v>
      </c>
    </row>
    <row r="38" spans="1:7" ht="15.75">
      <c r="A38" s="28" t="s">
        <v>51</v>
      </c>
      <c r="B38" s="28"/>
      <c r="C38" s="28"/>
      <c r="D38" s="28"/>
      <c r="E38" s="28"/>
      <c r="F38" s="28"/>
      <c r="G38" s="29"/>
    </row>
    <row r="39" spans="1:7" ht="15.75" hidden="1">
      <c r="A39" s="34" t="s">
        <v>52</v>
      </c>
      <c r="B39" s="34"/>
      <c r="C39" s="34"/>
      <c r="D39" s="34"/>
      <c r="E39" s="34"/>
      <c r="F39" s="34"/>
      <c r="G39" s="29"/>
    </row>
    <row r="40" spans="1:7" ht="15.75" hidden="1">
      <c r="A40" s="34" t="s">
        <v>53</v>
      </c>
      <c r="B40" s="34"/>
      <c r="C40" s="34"/>
      <c r="D40" s="34"/>
      <c r="E40" s="34"/>
      <c r="F40" s="34"/>
      <c r="G40" s="29"/>
    </row>
    <row r="41" spans="1:7" ht="15.75" hidden="1">
      <c r="A41" s="34" t="s">
        <v>54</v>
      </c>
      <c r="B41" s="34"/>
      <c r="C41" s="34"/>
      <c r="D41" s="34"/>
      <c r="E41" s="34"/>
      <c r="F41" s="34"/>
      <c r="G41" s="29"/>
    </row>
    <row r="42" spans="1:7" ht="15.75" hidden="1">
      <c r="A42" s="34" t="s">
        <v>55</v>
      </c>
      <c r="B42" s="34"/>
      <c r="C42" s="34"/>
      <c r="D42" s="34"/>
      <c r="E42" s="34"/>
      <c r="F42" s="34"/>
      <c r="G42" s="29"/>
    </row>
    <row r="43" spans="1:7" ht="15.75" hidden="1">
      <c r="A43" s="34" t="s">
        <v>56</v>
      </c>
      <c r="B43" s="34"/>
      <c r="C43" s="34"/>
      <c r="D43" s="34"/>
      <c r="E43" s="34"/>
      <c r="F43" s="34"/>
      <c r="G43" s="29"/>
    </row>
    <row r="44" spans="1:7" ht="15.75" hidden="1">
      <c r="A44" s="34" t="s">
        <v>57</v>
      </c>
      <c r="B44" s="34"/>
      <c r="C44" s="34"/>
      <c r="D44" s="34"/>
      <c r="E44" s="34"/>
      <c r="F44" s="34"/>
      <c r="G44" s="29"/>
    </row>
    <row r="45" spans="1:7" ht="15.75">
      <c r="A45" s="34" t="s">
        <v>58</v>
      </c>
      <c r="B45" s="34"/>
      <c r="C45" s="34"/>
      <c r="D45" s="34"/>
      <c r="E45" s="34"/>
      <c r="F45" s="34"/>
      <c r="G45" s="29">
        <v>168</v>
      </c>
    </row>
    <row r="46" spans="1:7" ht="15.75" hidden="1">
      <c r="A46" s="34" t="s">
        <v>59</v>
      </c>
      <c r="B46" s="34"/>
      <c r="C46" s="34"/>
      <c r="D46" s="34"/>
      <c r="E46" s="34"/>
      <c r="F46" s="34"/>
      <c r="G46" s="29"/>
    </row>
    <row r="47" spans="1:7" ht="15.75" hidden="1">
      <c r="A47" s="34" t="s">
        <v>60</v>
      </c>
      <c r="B47" s="34"/>
      <c r="C47" s="34"/>
      <c r="D47" s="34"/>
      <c r="E47" s="34"/>
      <c r="F47" s="34"/>
      <c r="G47" s="29"/>
    </row>
    <row r="48" spans="1:7" ht="15.75" hidden="1">
      <c r="A48" s="34" t="s">
        <v>61</v>
      </c>
      <c r="B48" s="34"/>
      <c r="C48" s="34"/>
      <c r="D48" s="34"/>
      <c r="E48" s="34"/>
      <c r="F48" s="34"/>
      <c r="G48" s="29"/>
    </row>
    <row r="49" spans="1:7" ht="15.75" hidden="1">
      <c r="A49" s="34" t="s">
        <v>62</v>
      </c>
      <c r="B49" s="34"/>
      <c r="C49" s="34"/>
      <c r="D49" s="34"/>
      <c r="E49" s="34"/>
      <c r="F49" s="34"/>
      <c r="G49" s="29"/>
    </row>
    <row r="50" spans="1:7" ht="15.75">
      <c r="A50" s="34" t="s">
        <v>63</v>
      </c>
      <c r="B50" s="34"/>
      <c r="C50" s="34"/>
      <c r="D50" s="34"/>
      <c r="E50" s="34"/>
      <c r="F50" s="34"/>
      <c r="G50" s="29">
        <v>3640</v>
      </c>
    </row>
    <row r="51" spans="1:7" ht="15.75" hidden="1">
      <c r="A51" s="34" t="s">
        <v>64</v>
      </c>
      <c r="B51" s="34"/>
      <c r="C51" s="34"/>
      <c r="D51" s="34"/>
      <c r="E51" s="34"/>
      <c r="F51" s="34"/>
      <c r="G51" s="29"/>
    </row>
    <row r="52" spans="1:7" ht="15.75" hidden="1">
      <c r="A52" s="34" t="s">
        <v>65</v>
      </c>
      <c r="B52" s="34"/>
      <c r="C52" s="34"/>
      <c r="D52" s="34"/>
      <c r="E52" s="34"/>
      <c r="F52" s="34"/>
      <c r="G52" s="29"/>
    </row>
    <row r="53" spans="1:7" ht="18.75" customHeight="1">
      <c r="A53" s="33" t="s">
        <v>66</v>
      </c>
      <c r="B53" s="33"/>
      <c r="C53" s="33"/>
      <c r="D53" s="33"/>
      <c r="E53" s="33"/>
      <c r="F53" s="33"/>
      <c r="G53" s="32">
        <f>G39+G40+G41+G42+G43+G44+G45+G46+G47+G48+G49+G50+G51+G52</f>
        <v>3808</v>
      </c>
    </row>
    <row r="54" spans="1:7" ht="21" customHeight="1">
      <c r="A54" s="33" t="s">
        <v>67</v>
      </c>
      <c r="B54" s="33"/>
      <c r="C54" s="33"/>
      <c r="D54" s="33"/>
      <c r="E54" s="33"/>
      <c r="F54" s="33"/>
      <c r="G54" s="32">
        <f>G35+G53</f>
        <v>98566.83272469394</v>
      </c>
    </row>
    <row r="55" spans="1:7" ht="15.75" hidden="1">
      <c r="A55" s="28" t="s">
        <v>68</v>
      </c>
      <c r="B55" s="28"/>
      <c r="C55" s="28"/>
      <c r="D55" s="28"/>
      <c r="E55" s="28"/>
      <c r="F55" s="28"/>
      <c r="G55" s="29">
        <v>0</v>
      </c>
    </row>
    <row r="56" spans="1:7" ht="15.75">
      <c r="A56" s="41" t="s">
        <v>69</v>
      </c>
      <c r="B56" s="41"/>
      <c r="C56" s="41"/>
      <c r="D56" s="41"/>
      <c r="E56" s="41"/>
      <c r="F56" s="41"/>
      <c r="G56" s="29">
        <f>281.58*4+141.6*4+141.6*4+180*4</f>
        <v>2979.12</v>
      </c>
    </row>
    <row r="57" spans="1:7" ht="15.75" customHeight="1">
      <c r="A57" s="42" t="s">
        <v>70</v>
      </c>
      <c r="B57" s="42"/>
      <c r="C57" s="42"/>
      <c r="D57" s="42"/>
      <c r="E57" s="42"/>
      <c r="F57" s="42"/>
      <c r="G57" s="32">
        <f>B3*B5*4+G56</f>
        <v>122257.03199999999</v>
      </c>
    </row>
    <row r="58" spans="1:7" ht="15.75" customHeight="1">
      <c r="A58" s="43" t="s">
        <v>71</v>
      </c>
      <c r="B58" s="43"/>
      <c r="C58" s="43"/>
      <c r="D58" s="43"/>
      <c r="E58" s="43"/>
      <c r="F58" s="43"/>
      <c r="G58" s="44">
        <v>12296.69</v>
      </c>
    </row>
    <row r="59" spans="1:7" ht="65.25" customHeight="1">
      <c r="A59" s="33" t="s">
        <v>80</v>
      </c>
      <c r="B59" s="33"/>
      <c r="C59" s="33"/>
      <c r="D59" s="33"/>
      <c r="E59" s="33"/>
      <c r="F59" s="33"/>
      <c r="G59" s="32">
        <f>G54-G57+G58-G55</f>
        <v>-11393.509275306047</v>
      </c>
    </row>
  </sheetData>
  <sheetProtection selectLockedCells="1" selectUnlockedCells="1"/>
  <mergeCells count="48">
    <mergeCell ref="A1:G1"/>
    <mergeCell ref="B2:E2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printOptions/>
  <pageMargins left="0.19652777777777777" right="0" top="0" bottom="0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G59"/>
  <sheetViews>
    <sheetView zoomScale="75" zoomScaleNormal="75" workbookViewId="0" topLeftCell="A30">
      <pane ySplit="65535" topLeftCell="A30" activePane="topLeft" state="split"/>
      <selection pane="topLeft" activeCell="G57" activeCellId="1" sqref="A77:G138 G57"/>
      <selection pane="bottomLeft" activeCell="A30" sqref="A30"/>
    </sheetView>
  </sheetViews>
  <sheetFormatPr defaultColWidth="9.140625" defaultRowHeight="12.75"/>
  <cols>
    <col min="1" max="1" width="23.8515625" style="1" customWidth="1"/>
    <col min="2" max="2" width="11.57421875" style="1" customWidth="1"/>
    <col min="3" max="5" width="9.140625" style="1" customWidth="1"/>
    <col min="6" max="6" width="21.421875" style="1" customWidth="1"/>
    <col min="7" max="7" width="15.421875" style="1" customWidth="1"/>
    <col min="8" max="16384" width="9.140625" style="1" customWidth="1"/>
  </cols>
  <sheetData>
    <row r="1" spans="1:7" ht="39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83</v>
      </c>
      <c r="C2" s="7"/>
      <c r="D2" s="7"/>
      <c r="E2" s="7"/>
      <c r="F2" s="8" t="s">
        <v>3</v>
      </c>
      <c r="G2" s="9">
        <v>10</v>
      </c>
    </row>
    <row r="3" spans="1:7" ht="18.75">
      <c r="A3" s="6" t="s">
        <v>4</v>
      </c>
      <c r="B3" s="10">
        <v>4739.1</v>
      </c>
      <c r="F3" s="8" t="s">
        <v>5</v>
      </c>
      <c r="G3" s="11">
        <v>2</v>
      </c>
    </row>
    <row r="4" spans="1:7" ht="18.75">
      <c r="A4" s="12" t="s">
        <v>6</v>
      </c>
      <c r="B4" s="13"/>
      <c r="F4" s="8" t="s">
        <v>8</v>
      </c>
      <c r="G4" s="9">
        <v>1989</v>
      </c>
    </row>
    <row r="5" spans="1:3" ht="16.5" customHeight="1">
      <c r="A5" s="12" t="s">
        <v>6</v>
      </c>
      <c r="B5" s="13">
        <v>14.44</v>
      </c>
      <c r="C5" s="1" t="s">
        <v>9</v>
      </c>
    </row>
    <row r="6" spans="1:7" ht="18.75" hidden="1">
      <c r="A6" s="14" t="s">
        <v>10</v>
      </c>
      <c r="B6" s="15">
        <v>453.9</v>
      </c>
      <c r="C6" s="16"/>
      <c r="D6" s="16"/>
      <c r="E6" s="16"/>
      <c r="F6" s="16"/>
      <c r="G6" s="16"/>
    </row>
    <row r="7" spans="1:7" ht="18.75" hidden="1">
      <c r="A7" s="14" t="s">
        <v>12</v>
      </c>
      <c r="B7" s="17">
        <v>1.8</v>
      </c>
      <c r="C7" s="16" t="s">
        <v>78</v>
      </c>
      <c r="D7" s="16">
        <v>2</v>
      </c>
      <c r="E7" s="16"/>
      <c r="F7" s="16"/>
      <c r="G7" s="16"/>
    </row>
    <row r="8" spans="1:7" ht="38.25" customHeight="1" hidden="1">
      <c r="A8" s="18" t="s">
        <v>13</v>
      </c>
      <c r="B8" s="19" t="s">
        <v>14</v>
      </c>
      <c r="C8" s="19" t="s">
        <v>15</v>
      </c>
      <c r="D8" s="19" t="s">
        <v>16</v>
      </c>
      <c r="E8" s="19" t="s">
        <v>17</v>
      </c>
      <c r="F8" s="16"/>
      <c r="G8" s="16"/>
    </row>
    <row r="9" spans="1:7" ht="20.25" customHeight="1" hidden="1">
      <c r="A9" s="14"/>
      <c r="B9" s="17">
        <v>703</v>
      </c>
      <c r="C9" s="17">
        <v>2378</v>
      </c>
      <c r="D9" s="17">
        <v>539</v>
      </c>
      <c r="E9" s="17">
        <v>2542</v>
      </c>
      <c r="F9" s="16"/>
      <c r="G9" s="16"/>
    </row>
    <row r="10" spans="1:7" ht="18.75" hidden="1">
      <c r="A10" s="14" t="s">
        <v>18</v>
      </c>
      <c r="B10" s="20">
        <v>4739.1</v>
      </c>
      <c r="C10" s="16"/>
      <c r="D10" s="16"/>
      <c r="E10" s="16"/>
      <c r="F10" s="16"/>
      <c r="G10" s="16"/>
    </row>
    <row r="11" spans="1:7" ht="19.5" hidden="1">
      <c r="A11" s="14" t="s">
        <v>19</v>
      </c>
      <c r="B11" s="20">
        <v>472.4</v>
      </c>
      <c r="C11" s="20">
        <v>428.7</v>
      </c>
      <c r="D11" s="20">
        <f>B11+C11</f>
        <v>901.0999999999999</v>
      </c>
      <c r="E11" s="16"/>
      <c r="F11" s="16"/>
      <c r="G11" s="16"/>
    </row>
    <row r="12" spans="1:7" ht="50.25" customHeight="1" hidden="1">
      <c r="A12" s="14" t="s">
        <v>20</v>
      </c>
      <c r="B12" s="19" t="s">
        <v>21</v>
      </c>
      <c r="C12" s="21" t="s">
        <v>22</v>
      </c>
      <c r="D12" s="19" t="s">
        <v>23</v>
      </c>
      <c r="E12" s="22" t="s">
        <v>24</v>
      </c>
      <c r="F12" s="17" t="s">
        <v>25</v>
      </c>
      <c r="G12" s="16"/>
    </row>
    <row r="13" spans="1:7" ht="23.25" customHeight="1" hidden="1">
      <c r="A13" s="23"/>
      <c r="B13" s="24">
        <v>80</v>
      </c>
      <c r="C13" s="24">
        <v>80</v>
      </c>
      <c r="D13" s="24"/>
      <c r="E13" s="25">
        <f>D13+C13+B13</f>
        <v>160</v>
      </c>
      <c r="F13" s="17"/>
      <c r="G13" s="16"/>
    </row>
    <row r="14" spans="1:7" ht="18.75" customHeight="1">
      <c r="A14" s="26" t="s">
        <v>26</v>
      </c>
      <c r="B14" s="26"/>
      <c r="C14" s="26"/>
      <c r="D14" s="26"/>
      <c r="E14" s="26"/>
      <c r="F14" s="26"/>
      <c r="G14" s="27" t="s">
        <v>27</v>
      </c>
    </row>
    <row r="15" spans="1:7" ht="15.75">
      <c r="A15" s="28" t="s">
        <v>28</v>
      </c>
      <c r="B15" s="28"/>
      <c r="C15" s="28"/>
      <c r="D15" s="28"/>
      <c r="E15" s="28"/>
      <c r="F15" s="28"/>
      <c r="G15" s="29">
        <f>B6*8.689*4</f>
        <v>15775.748399999999</v>
      </c>
    </row>
    <row r="16" spans="1:7" ht="15.75">
      <c r="A16" s="28" t="s">
        <v>29</v>
      </c>
      <c r="B16" s="28"/>
      <c r="C16" s="28"/>
      <c r="D16" s="28"/>
      <c r="E16" s="28"/>
      <c r="F16" s="28"/>
      <c r="G16" s="29">
        <f>B7*19.029*4</f>
        <v>137.0088</v>
      </c>
    </row>
    <row r="17" spans="1:7" ht="15.75">
      <c r="A17" s="28" t="s">
        <v>30</v>
      </c>
      <c r="B17" s="28"/>
      <c r="C17" s="28"/>
      <c r="D17" s="28"/>
      <c r="E17" s="28"/>
      <c r="F17" s="28"/>
      <c r="G17" s="29">
        <f>B10*0.4522*4</f>
        <v>8572.08408</v>
      </c>
    </row>
    <row r="18" spans="1:7" ht="15.75">
      <c r="A18" s="28" t="s">
        <v>31</v>
      </c>
      <c r="B18" s="28"/>
      <c r="C18" s="28"/>
      <c r="D18" s="28"/>
      <c r="E18" s="28"/>
      <c r="F18" s="28"/>
      <c r="G18" s="29">
        <f>(B9*12.84/100*64)+(C9*9.63/100*38)+(D9*32.11/100*26)+(E9*2.41/100*54)</f>
        <v>22287.080200000004</v>
      </c>
    </row>
    <row r="19" spans="1:7" ht="15.75" customHeight="1">
      <c r="A19" s="30" t="s">
        <v>32</v>
      </c>
      <c r="B19" s="30"/>
      <c r="C19" s="30"/>
      <c r="D19" s="30"/>
      <c r="E19" s="30"/>
      <c r="F19" s="30"/>
      <c r="G19" s="31">
        <f>574906.73/199064.79*B3</f>
        <v>13686.702124182784</v>
      </c>
    </row>
    <row r="20" spans="1:7" ht="15.75">
      <c r="A20" s="28" t="s">
        <v>33</v>
      </c>
      <c r="B20" s="28"/>
      <c r="C20" s="28"/>
      <c r="D20" s="28"/>
      <c r="E20" s="28"/>
      <c r="F20" s="28"/>
      <c r="G20" s="29">
        <f>D11*0.14*2+732.22</f>
        <v>984.528</v>
      </c>
    </row>
    <row r="21" spans="1:7" ht="15.75" hidden="1">
      <c r="A21" s="28" t="s">
        <v>34</v>
      </c>
      <c r="B21" s="28"/>
      <c r="C21" s="28"/>
      <c r="D21" s="28"/>
      <c r="E21" s="28"/>
      <c r="F21" s="28"/>
      <c r="G21" s="29">
        <v>0</v>
      </c>
    </row>
    <row r="22" spans="1:7" ht="15.75">
      <c r="A22" s="28" t="s">
        <v>35</v>
      </c>
      <c r="B22" s="28"/>
      <c r="C22" s="28"/>
      <c r="D22" s="28"/>
      <c r="E22" s="28"/>
      <c r="F22" s="28"/>
      <c r="G22" s="29">
        <f>B3*0.845*4</f>
        <v>16018.158000000001</v>
      </c>
    </row>
    <row r="23" spans="1:7" ht="15.75">
      <c r="A23" s="28" t="s">
        <v>36</v>
      </c>
      <c r="B23" s="28"/>
      <c r="C23" s="28"/>
      <c r="D23" s="28"/>
      <c r="E23" s="28"/>
      <c r="F23" s="28"/>
      <c r="G23" s="29">
        <f>B3*2.648*4</f>
        <v>50196.54720000001</v>
      </c>
    </row>
    <row r="24" spans="1:7" ht="15.75" hidden="1">
      <c r="A24" s="28" t="s">
        <v>37</v>
      </c>
      <c r="B24" s="28"/>
      <c r="C24" s="28"/>
      <c r="D24" s="28"/>
      <c r="E24" s="28"/>
      <c r="F24" s="28"/>
      <c r="G24" s="29">
        <v>0</v>
      </c>
    </row>
    <row r="25" spans="1:7" ht="15.75">
      <c r="A25" s="28" t="s">
        <v>38</v>
      </c>
      <c r="B25" s="28"/>
      <c r="C25" s="28"/>
      <c r="D25" s="28"/>
      <c r="E25" s="28"/>
      <c r="F25" s="28"/>
      <c r="G25" s="29">
        <f>403*4</f>
        <v>1612</v>
      </c>
    </row>
    <row r="26" spans="1:7" ht="15.75">
      <c r="A26" s="28" t="s">
        <v>39</v>
      </c>
      <c r="B26" s="28"/>
      <c r="C26" s="28"/>
      <c r="D26" s="28"/>
      <c r="E26" s="28"/>
      <c r="F26" s="28"/>
      <c r="G26" s="29">
        <f>1*251.46</f>
        <v>251.46</v>
      </c>
    </row>
    <row r="27" spans="1:7" ht="15.75" hidden="1">
      <c r="A27" s="28" t="s">
        <v>40</v>
      </c>
      <c r="B27" s="28"/>
      <c r="C27" s="28"/>
      <c r="D27" s="28"/>
      <c r="E27" s="28"/>
      <c r="F27" s="28"/>
      <c r="G27" s="29">
        <v>0</v>
      </c>
    </row>
    <row r="28" spans="1:7" ht="15.75" hidden="1">
      <c r="A28" s="28" t="s">
        <v>41</v>
      </c>
      <c r="B28" s="28"/>
      <c r="C28" s="28"/>
      <c r="D28" s="28"/>
      <c r="E28" s="28"/>
      <c r="F28" s="28"/>
      <c r="G28" s="29">
        <v>0</v>
      </c>
    </row>
    <row r="29" spans="1:7" ht="15.75" hidden="1">
      <c r="A29" s="28" t="s">
        <v>42</v>
      </c>
      <c r="B29" s="28"/>
      <c r="C29" s="28"/>
      <c r="D29" s="28"/>
      <c r="E29" s="28"/>
      <c r="F29" s="28"/>
      <c r="G29" s="29">
        <v>0</v>
      </c>
    </row>
    <row r="30" spans="1:7" ht="15.75">
      <c r="A30" s="28" t="s">
        <v>43</v>
      </c>
      <c r="B30" s="28"/>
      <c r="C30" s="28"/>
      <c r="D30" s="28"/>
      <c r="E30" s="28"/>
      <c r="F30" s="28"/>
      <c r="G30" s="29">
        <f>B3*1.75*4</f>
        <v>33173.700000000004</v>
      </c>
    </row>
    <row r="31" spans="1:7" ht="15.75" customHeight="1">
      <c r="A31" s="30" t="s">
        <v>44</v>
      </c>
      <c r="B31" s="30"/>
      <c r="C31" s="30"/>
      <c r="D31" s="30"/>
      <c r="E31" s="30"/>
      <c r="F31" s="30"/>
      <c r="G31" s="29">
        <f>(F13*4*8.57)+(B13*2*3.14)+(C13*1*3.14)+(D13*1*3.14)</f>
        <v>753.6</v>
      </c>
    </row>
    <row r="32" spans="1:7" ht="15.75">
      <c r="A32" s="28" t="s">
        <v>45</v>
      </c>
      <c r="B32" s="28"/>
      <c r="C32" s="28"/>
      <c r="D32" s="28"/>
      <c r="E32" s="28"/>
      <c r="F32" s="28"/>
      <c r="G32" s="29">
        <f>B3*0.65*4</f>
        <v>12321.660000000002</v>
      </c>
    </row>
    <row r="33" spans="1:7" ht="15.75">
      <c r="A33" s="28" t="s">
        <v>46</v>
      </c>
      <c r="B33" s="28"/>
      <c r="C33" s="28"/>
      <c r="D33" s="28"/>
      <c r="E33" s="28"/>
      <c r="F33" s="28"/>
      <c r="G33" s="29">
        <f>B3*0.2*4</f>
        <v>3791.2800000000007</v>
      </c>
    </row>
    <row r="34" spans="1:7" ht="15.75">
      <c r="A34" s="28" t="s">
        <v>47</v>
      </c>
      <c r="B34" s="28"/>
      <c r="C34" s="28"/>
      <c r="D34" s="28"/>
      <c r="E34" s="28"/>
      <c r="F34" s="28"/>
      <c r="G34" s="29">
        <f>B3*0.7*4</f>
        <v>13269.48</v>
      </c>
    </row>
    <row r="35" spans="1:7" ht="15.75">
      <c r="A35" s="26" t="s">
        <v>48</v>
      </c>
      <c r="B35" s="26"/>
      <c r="C35" s="26"/>
      <c r="D35" s="26"/>
      <c r="E35" s="26"/>
      <c r="F35" s="26"/>
      <c r="G35" s="32">
        <f>G15+G16+G17+G18+G19+G20+G21+G22+G23+G24+G26+G30+G31+G32+G33+G34+G27+G28+G29+G25</f>
        <v>192831.0368041828</v>
      </c>
    </row>
    <row r="36" spans="1:7" ht="20.25" customHeight="1">
      <c r="A36" s="33" t="s">
        <v>49</v>
      </c>
      <c r="B36" s="33"/>
      <c r="C36" s="33"/>
      <c r="D36" s="33"/>
      <c r="E36" s="33"/>
      <c r="F36" s="33"/>
      <c r="G36" s="29"/>
    </row>
    <row r="37" spans="1:7" ht="15.75" hidden="1">
      <c r="A37" s="28" t="s">
        <v>50</v>
      </c>
      <c r="B37" s="28"/>
      <c r="C37" s="28"/>
      <c r="D37" s="28"/>
      <c r="E37" s="28"/>
      <c r="F37" s="28"/>
      <c r="G37" s="29"/>
    </row>
    <row r="38" spans="1:7" ht="15.75">
      <c r="A38" s="28" t="s">
        <v>51</v>
      </c>
      <c r="B38" s="28"/>
      <c r="C38" s="28"/>
      <c r="D38" s="28"/>
      <c r="E38" s="28"/>
      <c r="F38" s="28"/>
      <c r="G38" s="29"/>
    </row>
    <row r="39" spans="1:7" ht="15.75">
      <c r="A39" s="34" t="s">
        <v>52</v>
      </c>
      <c r="B39" s="34"/>
      <c r="C39" s="34"/>
      <c r="D39" s="34"/>
      <c r="E39" s="34"/>
      <c r="F39" s="34"/>
      <c r="G39" s="29">
        <v>22550</v>
      </c>
    </row>
    <row r="40" spans="1:7" ht="15.75" hidden="1">
      <c r="A40" s="34" t="s">
        <v>53</v>
      </c>
      <c r="B40" s="34"/>
      <c r="C40" s="34"/>
      <c r="D40" s="34"/>
      <c r="E40" s="34"/>
      <c r="F40" s="34"/>
      <c r="G40" s="29"/>
    </row>
    <row r="41" spans="1:7" ht="15.75" hidden="1">
      <c r="A41" s="34" t="s">
        <v>54</v>
      </c>
      <c r="B41" s="34"/>
      <c r="C41" s="34"/>
      <c r="D41" s="34"/>
      <c r="E41" s="34"/>
      <c r="F41" s="34"/>
      <c r="G41" s="29"/>
    </row>
    <row r="42" spans="1:7" ht="15.75" hidden="1">
      <c r="A42" s="34" t="s">
        <v>55</v>
      </c>
      <c r="B42" s="34"/>
      <c r="C42" s="34"/>
      <c r="D42" s="34"/>
      <c r="E42" s="34"/>
      <c r="F42" s="34"/>
      <c r="G42" s="29"/>
    </row>
    <row r="43" spans="1:7" ht="15.75" hidden="1">
      <c r="A43" s="34" t="s">
        <v>56</v>
      </c>
      <c r="B43" s="34"/>
      <c r="C43" s="34"/>
      <c r="D43" s="34"/>
      <c r="E43" s="34"/>
      <c r="F43" s="34"/>
      <c r="G43" s="29"/>
    </row>
    <row r="44" spans="1:7" ht="15.75" hidden="1">
      <c r="A44" s="34" t="s">
        <v>57</v>
      </c>
      <c r="B44" s="34"/>
      <c r="C44" s="34"/>
      <c r="D44" s="34"/>
      <c r="E44" s="34"/>
      <c r="F44" s="34"/>
      <c r="G44" s="29"/>
    </row>
    <row r="45" spans="1:7" ht="15.75">
      <c r="A45" s="34" t="s">
        <v>58</v>
      </c>
      <c r="B45" s="34"/>
      <c r="C45" s="34"/>
      <c r="D45" s="34"/>
      <c r="E45" s="34"/>
      <c r="F45" s="34"/>
      <c r="G45" s="29">
        <v>168</v>
      </c>
    </row>
    <row r="46" spans="1:7" ht="15.75" hidden="1">
      <c r="A46" s="34" t="s">
        <v>59</v>
      </c>
      <c r="B46" s="34"/>
      <c r="C46" s="34"/>
      <c r="D46" s="34"/>
      <c r="E46" s="34"/>
      <c r="F46" s="34"/>
      <c r="G46" s="29"/>
    </row>
    <row r="47" spans="1:7" ht="15.75" hidden="1">
      <c r="A47" s="34" t="s">
        <v>60</v>
      </c>
      <c r="B47" s="34"/>
      <c r="C47" s="34"/>
      <c r="D47" s="34"/>
      <c r="E47" s="34"/>
      <c r="F47" s="34"/>
      <c r="G47" s="29"/>
    </row>
    <row r="48" spans="1:7" ht="15.75" hidden="1">
      <c r="A48" s="34" t="s">
        <v>61</v>
      </c>
      <c r="B48" s="34"/>
      <c r="C48" s="34"/>
      <c r="D48" s="34"/>
      <c r="E48" s="34"/>
      <c r="F48" s="34"/>
      <c r="G48" s="29"/>
    </row>
    <row r="49" spans="1:7" ht="15.75" hidden="1">
      <c r="A49" s="34" t="s">
        <v>62</v>
      </c>
      <c r="B49" s="34"/>
      <c r="C49" s="34"/>
      <c r="D49" s="34"/>
      <c r="E49" s="34"/>
      <c r="F49" s="34"/>
      <c r="G49" s="29"/>
    </row>
    <row r="50" spans="1:7" ht="15.75">
      <c r="A50" s="34" t="s">
        <v>63</v>
      </c>
      <c r="B50" s="34"/>
      <c r="C50" s="34"/>
      <c r="D50" s="34"/>
      <c r="E50" s="34"/>
      <c r="F50" s="34"/>
      <c r="G50" s="29">
        <v>6420</v>
      </c>
    </row>
    <row r="51" spans="1:7" ht="15.75" hidden="1">
      <c r="A51" s="34" t="s">
        <v>64</v>
      </c>
      <c r="B51" s="34"/>
      <c r="C51" s="34"/>
      <c r="D51" s="34"/>
      <c r="E51" s="34"/>
      <c r="F51" s="34"/>
      <c r="G51" s="29"/>
    </row>
    <row r="52" spans="1:7" ht="15.75" hidden="1">
      <c r="A52" s="34" t="s">
        <v>65</v>
      </c>
      <c r="B52" s="34"/>
      <c r="C52" s="34"/>
      <c r="D52" s="34"/>
      <c r="E52" s="34"/>
      <c r="F52" s="34"/>
      <c r="G52" s="29"/>
    </row>
    <row r="53" spans="1:7" ht="15.75" customHeight="1">
      <c r="A53" s="33" t="s">
        <v>66</v>
      </c>
      <c r="B53" s="33"/>
      <c r="C53" s="33"/>
      <c r="D53" s="33"/>
      <c r="E53" s="33"/>
      <c r="F53" s="33"/>
      <c r="G53" s="32">
        <f>G39+G40+G41+G42+G43+G44+G45+G46+G47+G48+G49+G50+G51+G52</f>
        <v>29138</v>
      </c>
    </row>
    <row r="54" spans="1:7" ht="15.75" customHeight="1">
      <c r="A54" s="33" t="s">
        <v>67</v>
      </c>
      <c r="B54" s="33"/>
      <c r="C54" s="33"/>
      <c r="D54" s="33"/>
      <c r="E54" s="33"/>
      <c r="F54" s="33"/>
      <c r="G54" s="32">
        <f>G35+G53</f>
        <v>221969.0368041828</v>
      </c>
    </row>
    <row r="55" spans="1:7" ht="15.75" hidden="1">
      <c r="A55" s="28" t="s">
        <v>68</v>
      </c>
      <c r="B55" s="28"/>
      <c r="C55" s="28"/>
      <c r="D55" s="28"/>
      <c r="E55" s="28"/>
      <c r="F55" s="28"/>
      <c r="G55" s="29">
        <v>0</v>
      </c>
    </row>
    <row r="56" spans="1:7" ht="15.75">
      <c r="A56" s="41" t="s">
        <v>69</v>
      </c>
      <c r="B56" s="41"/>
      <c r="C56" s="41"/>
      <c r="D56" s="41"/>
      <c r="E56" s="41"/>
      <c r="F56" s="41"/>
      <c r="G56" s="29">
        <f>281.58*4+141.6*4+180*4</f>
        <v>2412.72</v>
      </c>
    </row>
    <row r="57" spans="1:7" ht="15.75" customHeight="1">
      <c r="A57" s="42" t="s">
        <v>70</v>
      </c>
      <c r="B57" s="42"/>
      <c r="C57" s="42"/>
      <c r="D57" s="42"/>
      <c r="E57" s="42"/>
      <c r="F57" s="42"/>
      <c r="G57" s="32">
        <f>B3*B5*4+G56</f>
        <v>276143.136</v>
      </c>
    </row>
    <row r="58" spans="1:7" ht="15.75" customHeight="1">
      <c r="A58" s="43" t="s">
        <v>71</v>
      </c>
      <c r="B58" s="43"/>
      <c r="C58" s="43"/>
      <c r="D58" s="43"/>
      <c r="E58" s="43"/>
      <c r="F58" s="43"/>
      <c r="G58" s="44">
        <v>27992.18</v>
      </c>
    </row>
    <row r="59" spans="1:7" ht="63" customHeight="1">
      <c r="A59" s="33" t="s">
        <v>82</v>
      </c>
      <c r="B59" s="33"/>
      <c r="C59" s="33"/>
      <c r="D59" s="33"/>
      <c r="E59" s="33"/>
      <c r="F59" s="33"/>
      <c r="G59" s="32">
        <f>G54-G57-G55+G58</f>
        <v>-26181.919195817194</v>
      </c>
    </row>
  </sheetData>
  <sheetProtection selectLockedCells="1" selectUnlockedCells="1"/>
  <mergeCells count="48">
    <mergeCell ref="A1:G1"/>
    <mergeCell ref="B2:E2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3"/>
  </sheetPr>
  <dimension ref="A1:G71"/>
  <sheetViews>
    <sheetView zoomScale="75" zoomScaleNormal="75" workbookViewId="0" topLeftCell="A21">
      <pane ySplit="65535" topLeftCell="A21" activePane="topLeft" state="split"/>
      <selection pane="topLeft" activeCell="G57" activeCellId="1" sqref="A77:G138 G57"/>
      <selection pane="bottomLeft" activeCell="A21" sqref="A21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6.7109375" style="1" customWidth="1"/>
    <col min="8" max="16384" width="9.140625" style="1" customWidth="1"/>
  </cols>
  <sheetData>
    <row r="1" spans="1:7" ht="40.5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73</v>
      </c>
      <c r="B2" s="7" t="s">
        <v>134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75</v>
      </c>
      <c r="B3" s="10">
        <v>2542.5</v>
      </c>
      <c r="F3" s="8" t="s">
        <v>5</v>
      </c>
      <c r="G3" s="11">
        <v>4</v>
      </c>
    </row>
    <row r="4" spans="1:7" ht="18.75">
      <c r="A4" s="12" t="s">
        <v>76</v>
      </c>
      <c r="B4" s="13"/>
      <c r="F4" s="8" t="s">
        <v>8</v>
      </c>
      <c r="G4" s="9">
        <v>1963</v>
      </c>
    </row>
    <row r="5" spans="1:3" ht="16.5" customHeight="1">
      <c r="A5" s="12" t="s">
        <v>76</v>
      </c>
      <c r="B5" s="13">
        <v>9.49</v>
      </c>
      <c r="C5" s="1" t="s">
        <v>9</v>
      </c>
    </row>
    <row r="6" spans="1:7" ht="18.75" hidden="1">
      <c r="A6" s="14" t="s">
        <v>10</v>
      </c>
      <c r="B6" s="15">
        <v>241.2</v>
      </c>
      <c r="C6" s="16"/>
      <c r="D6" s="16"/>
      <c r="E6" s="16"/>
      <c r="F6" s="16"/>
      <c r="G6" s="16"/>
    </row>
    <row r="7" spans="1:7" ht="18.75" hidden="1">
      <c r="A7" s="14" t="s">
        <v>12</v>
      </c>
      <c r="B7" s="17">
        <v>0</v>
      </c>
      <c r="C7" s="16"/>
      <c r="D7" s="16"/>
      <c r="E7" s="16"/>
      <c r="F7" s="16"/>
      <c r="G7" s="16"/>
    </row>
    <row r="8" spans="1:7" ht="38.25" customHeight="1" hidden="1">
      <c r="A8" s="18" t="s">
        <v>13</v>
      </c>
      <c r="B8" s="19" t="s">
        <v>14</v>
      </c>
      <c r="C8" s="19" t="s">
        <v>15</v>
      </c>
      <c r="D8" s="19" t="s">
        <v>16</v>
      </c>
      <c r="E8" s="19" t="s">
        <v>17</v>
      </c>
      <c r="F8" s="16"/>
      <c r="G8" s="16"/>
    </row>
    <row r="9" spans="1:7" ht="20.25" customHeight="1" hidden="1">
      <c r="A9" s="14"/>
      <c r="B9" s="17">
        <v>325</v>
      </c>
      <c r="C9" s="17">
        <v>1126</v>
      </c>
      <c r="D9" s="17">
        <v>325</v>
      </c>
      <c r="E9" s="17">
        <v>1126</v>
      </c>
      <c r="F9" s="16"/>
      <c r="G9" s="16"/>
    </row>
    <row r="10" spans="1:7" ht="18.75" hidden="1">
      <c r="A10" s="14" t="s">
        <v>18</v>
      </c>
      <c r="B10" s="20">
        <v>0</v>
      </c>
      <c r="C10" s="16"/>
      <c r="D10" s="16"/>
      <c r="E10" s="16"/>
      <c r="F10" s="16"/>
      <c r="G10" s="16"/>
    </row>
    <row r="11" spans="1:7" ht="19.5" hidden="1">
      <c r="A11" s="14" t="s">
        <v>19</v>
      </c>
      <c r="B11" s="20">
        <v>884</v>
      </c>
      <c r="C11" s="20">
        <v>508.5</v>
      </c>
      <c r="D11" s="20">
        <f>B11+C11</f>
        <v>1392.5</v>
      </c>
      <c r="E11" s="16"/>
      <c r="F11" s="16"/>
      <c r="G11" s="16"/>
    </row>
    <row r="12" spans="1:7" ht="50.25" customHeight="1" hidden="1">
      <c r="A12" s="14" t="s">
        <v>20</v>
      </c>
      <c r="B12" s="19" t="s">
        <v>21</v>
      </c>
      <c r="C12" s="21" t="s">
        <v>22</v>
      </c>
      <c r="D12" s="19" t="s">
        <v>23</v>
      </c>
      <c r="E12" s="22" t="s">
        <v>24</v>
      </c>
      <c r="F12" s="17" t="s">
        <v>25</v>
      </c>
      <c r="G12" s="16"/>
    </row>
    <row r="13" spans="1:7" ht="23.25" customHeight="1" hidden="1">
      <c r="A13" s="23"/>
      <c r="B13" s="24">
        <v>64</v>
      </c>
      <c r="C13" s="24">
        <v>64</v>
      </c>
      <c r="D13" s="24"/>
      <c r="E13" s="25">
        <f>D13+C13+B13</f>
        <v>128</v>
      </c>
      <c r="F13" s="17"/>
      <c r="G13" s="16"/>
    </row>
    <row r="14" spans="1:7" ht="18.75" customHeight="1">
      <c r="A14" s="26" t="s">
        <v>26</v>
      </c>
      <c r="B14" s="26"/>
      <c r="C14" s="26"/>
      <c r="D14" s="26"/>
      <c r="E14" s="26"/>
      <c r="F14" s="26"/>
      <c r="G14" s="27" t="s">
        <v>27</v>
      </c>
    </row>
    <row r="15" spans="1:7" ht="15.75">
      <c r="A15" s="28" t="s">
        <v>28</v>
      </c>
      <c r="B15" s="28"/>
      <c r="C15" s="28"/>
      <c r="D15" s="28"/>
      <c r="E15" s="28"/>
      <c r="F15" s="28"/>
      <c r="G15" s="29">
        <f>B6*7.012*4</f>
        <v>6765.177599999999</v>
      </c>
    </row>
    <row r="16" spans="1:7" ht="15.75" hidden="1">
      <c r="A16" s="28" t="s">
        <v>29</v>
      </c>
      <c r="B16" s="28"/>
      <c r="C16" s="28"/>
      <c r="D16" s="28"/>
      <c r="E16" s="28"/>
      <c r="F16" s="28"/>
      <c r="G16" s="29">
        <f>B7*35.705*12</f>
        <v>0</v>
      </c>
    </row>
    <row r="17" spans="1:7" ht="15.75" hidden="1">
      <c r="A17" s="28" t="s">
        <v>30</v>
      </c>
      <c r="B17" s="28"/>
      <c r="C17" s="28"/>
      <c r="D17" s="28"/>
      <c r="E17" s="28"/>
      <c r="F17" s="28"/>
      <c r="G17" s="29">
        <f>B10*0.3613*12</f>
        <v>0</v>
      </c>
    </row>
    <row r="18" spans="1:7" ht="15.75">
      <c r="A18" s="28" t="s">
        <v>31</v>
      </c>
      <c r="B18" s="28"/>
      <c r="C18" s="28"/>
      <c r="D18" s="28"/>
      <c r="E18" s="28"/>
      <c r="F18" s="28"/>
      <c r="G18" s="29">
        <f>(B9*9.46/100*64)+(C9*7.09/100*38)+(D9*23.66/100*26)+(E9*1.77/100*5)</f>
        <v>7100.270200000001</v>
      </c>
    </row>
    <row r="19" spans="1:7" ht="15.75" customHeight="1">
      <c r="A19" s="30" t="s">
        <v>32</v>
      </c>
      <c r="B19" s="30"/>
      <c r="C19" s="30"/>
      <c r="D19" s="30"/>
      <c r="E19" s="30"/>
      <c r="F19" s="30"/>
      <c r="G19" s="31">
        <f>574906.73/199064.79*B3</f>
        <v>7342.837279385269</v>
      </c>
    </row>
    <row r="20" spans="1:7" ht="15.75">
      <c r="A20" s="28" t="s">
        <v>33</v>
      </c>
      <c r="B20" s="28"/>
      <c r="C20" s="28"/>
      <c r="D20" s="28"/>
      <c r="E20" s="28"/>
      <c r="F20" s="28"/>
      <c r="G20" s="29">
        <f>D11*0.14*2</f>
        <v>389.90000000000003</v>
      </c>
    </row>
    <row r="21" spans="1:7" ht="15.75">
      <c r="A21" s="28" t="s">
        <v>34</v>
      </c>
      <c r="B21" s="28"/>
      <c r="C21" s="28"/>
      <c r="D21" s="28"/>
      <c r="E21" s="28"/>
      <c r="F21" s="28"/>
      <c r="G21" s="29">
        <f>95.95+3262.46+1055.39+4413.39</f>
        <v>8827.19</v>
      </c>
    </row>
    <row r="22" spans="1:7" ht="15.75">
      <c r="A22" s="28" t="s">
        <v>35</v>
      </c>
      <c r="B22" s="28"/>
      <c r="C22" s="28"/>
      <c r="D22" s="28"/>
      <c r="E22" s="28"/>
      <c r="F22" s="28"/>
      <c r="G22" s="29">
        <f>B3*0.845*4</f>
        <v>8593.65</v>
      </c>
    </row>
    <row r="23" spans="1:7" ht="15.75" hidden="1">
      <c r="A23" s="28" t="s">
        <v>36</v>
      </c>
      <c r="B23" s="28"/>
      <c r="C23" s="28"/>
      <c r="D23" s="28"/>
      <c r="E23" s="28"/>
      <c r="F23" s="28"/>
      <c r="G23" s="29">
        <v>0</v>
      </c>
    </row>
    <row r="24" spans="1:7" ht="15.75" hidden="1">
      <c r="A24" s="28" t="s">
        <v>37</v>
      </c>
      <c r="B24" s="28"/>
      <c r="C24" s="28"/>
      <c r="D24" s="28"/>
      <c r="E24" s="28"/>
      <c r="F24" s="28"/>
      <c r="G24" s="29">
        <v>0</v>
      </c>
    </row>
    <row r="25" spans="1:7" ht="15.75" hidden="1">
      <c r="A25" s="28" t="s">
        <v>38</v>
      </c>
      <c r="B25" s="28"/>
      <c r="C25" s="28"/>
      <c r="D25" s="28"/>
      <c r="E25" s="28"/>
      <c r="F25" s="28"/>
      <c r="G25" s="29">
        <v>0</v>
      </c>
    </row>
    <row r="26" spans="1:7" ht="15.75">
      <c r="A26" s="28" t="s">
        <v>39</v>
      </c>
      <c r="B26" s="28"/>
      <c r="C26" s="28"/>
      <c r="D26" s="28"/>
      <c r="E26" s="28"/>
      <c r="F26" s="28"/>
      <c r="G26" s="29">
        <f>4*352+4*251.46</f>
        <v>2413.84</v>
      </c>
    </row>
    <row r="27" spans="1:7" ht="15.75" hidden="1">
      <c r="A27" s="28" t="s">
        <v>40</v>
      </c>
      <c r="B27" s="28"/>
      <c r="C27" s="28"/>
      <c r="D27" s="28"/>
      <c r="E27" s="28"/>
      <c r="F27" s="28"/>
      <c r="G27" s="29">
        <v>0</v>
      </c>
    </row>
    <row r="28" spans="1:7" ht="15.75" hidden="1">
      <c r="A28" s="28" t="s">
        <v>41</v>
      </c>
      <c r="B28" s="28"/>
      <c r="C28" s="28"/>
      <c r="D28" s="28"/>
      <c r="E28" s="28"/>
      <c r="F28" s="28"/>
      <c r="G28" s="29">
        <v>0</v>
      </c>
    </row>
    <row r="29" spans="1:7" ht="15.75" hidden="1">
      <c r="A29" s="28" t="s">
        <v>42</v>
      </c>
      <c r="B29" s="28"/>
      <c r="C29" s="28"/>
      <c r="D29" s="28"/>
      <c r="E29" s="28"/>
      <c r="F29" s="28"/>
      <c r="G29" s="29">
        <v>0</v>
      </c>
    </row>
    <row r="30" spans="1:7" ht="15.75">
      <c r="A30" s="28" t="s">
        <v>43</v>
      </c>
      <c r="B30" s="28"/>
      <c r="C30" s="28"/>
      <c r="D30" s="28"/>
      <c r="E30" s="28"/>
      <c r="F30" s="28"/>
      <c r="G30" s="29">
        <f>B3*1.75*4</f>
        <v>17797.5</v>
      </c>
    </row>
    <row r="31" spans="1:7" ht="15.75" customHeight="1">
      <c r="A31" s="30" t="s">
        <v>44</v>
      </c>
      <c r="B31" s="30"/>
      <c r="C31" s="30"/>
      <c r="D31" s="30"/>
      <c r="E31" s="30"/>
      <c r="F31" s="30"/>
      <c r="G31" s="29">
        <f>(F13*4*8.57)+(B13*2*3.14)+(C13*1*3.14)+(D13*1*3.14)</f>
        <v>602.88</v>
      </c>
    </row>
    <row r="32" spans="1:7" ht="15.75">
      <c r="A32" s="28" t="s">
        <v>45</v>
      </c>
      <c r="B32" s="28"/>
      <c r="C32" s="28"/>
      <c r="D32" s="28"/>
      <c r="E32" s="28"/>
      <c r="F32" s="28"/>
      <c r="G32" s="29">
        <f>B3*0.65*4</f>
        <v>6610.5</v>
      </c>
    </row>
    <row r="33" spans="1:7" ht="15.75">
      <c r="A33" s="28" t="s">
        <v>46</v>
      </c>
      <c r="B33" s="28"/>
      <c r="C33" s="28"/>
      <c r="D33" s="28"/>
      <c r="E33" s="28"/>
      <c r="F33" s="28"/>
      <c r="G33" s="29">
        <f>B3*0.2*4</f>
        <v>2034</v>
      </c>
    </row>
    <row r="34" spans="1:7" ht="15.75">
      <c r="A34" s="28" t="s">
        <v>47</v>
      </c>
      <c r="B34" s="28"/>
      <c r="C34" s="28"/>
      <c r="D34" s="28"/>
      <c r="E34" s="28"/>
      <c r="F34" s="28"/>
      <c r="G34" s="29">
        <f>B3*0.7*4</f>
        <v>7119</v>
      </c>
    </row>
    <row r="35" spans="1:7" ht="15.75">
      <c r="A35" s="26" t="s">
        <v>48</v>
      </c>
      <c r="B35" s="26"/>
      <c r="C35" s="26"/>
      <c r="D35" s="26"/>
      <c r="E35" s="26"/>
      <c r="F35" s="26"/>
      <c r="G35" s="32">
        <f>G15+G16+G17+G18+G19+G20+G21+G22+G23+G24+G26+G30+G31+G32+G33+G34+G27+G28+G29+G25</f>
        <v>75596.74507938526</v>
      </c>
    </row>
    <row r="36" spans="1:7" ht="20.25" customHeight="1">
      <c r="A36" s="33" t="s">
        <v>49</v>
      </c>
      <c r="B36" s="33"/>
      <c r="C36" s="33"/>
      <c r="D36" s="33"/>
      <c r="E36" s="33"/>
      <c r="F36" s="33"/>
      <c r="G36" s="29"/>
    </row>
    <row r="37" spans="1:7" ht="15.75">
      <c r="A37" s="28" t="s">
        <v>51</v>
      </c>
      <c r="B37" s="28"/>
      <c r="C37" s="28"/>
      <c r="D37" s="28"/>
      <c r="E37" s="28"/>
      <c r="F37" s="28"/>
      <c r="G37" s="29"/>
    </row>
    <row r="38" spans="1:7" ht="15.75" hidden="1">
      <c r="A38" s="34" t="s">
        <v>52</v>
      </c>
      <c r="B38" s="34"/>
      <c r="C38" s="34"/>
      <c r="D38" s="34"/>
      <c r="E38" s="34"/>
      <c r="F38" s="34"/>
      <c r="G38" s="29"/>
    </row>
    <row r="39" spans="1:7" ht="15.75" hidden="1">
      <c r="A39" s="34" t="s">
        <v>53</v>
      </c>
      <c r="B39" s="34"/>
      <c r="C39" s="34"/>
      <c r="D39" s="34"/>
      <c r="E39" s="34"/>
      <c r="F39" s="34"/>
      <c r="G39" s="29"/>
    </row>
    <row r="40" spans="1:7" ht="15.75" hidden="1">
      <c r="A40" s="34" t="s">
        <v>54</v>
      </c>
      <c r="B40" s="34"/>
      <c r="C40" s="34"/>
      <c r="D40" s="34"/>
      <c r="E40" s="34"/>
      <c r="F40" s="34"/>
      <c r="G40" s="29"/>
    </row>
    <row r="41" spans="1:7" ht="15.75" hidden="1">
      <c r="A41" s="34" t="s">
        <v>55</v>
      </c>
      <c r="B41" s="34"/>
      <c r="C41" s="34"/>
      <c r="D41" s="34"/>
      <c r="E41" s="34"/>
      <c r="F41" s="34"/>
      <c r="G41" s="29"/>
    </row>
    <row r="42" spans="1:7" ht="15.75" hidden="1">
      <c r="A42" s="34" t="s">
        <v>56</v>
      </c>
      <c r="B42" s="34"/>
      <c r="C42" s="34"/>
      <c r="D42" s="34"/>
      <c r="E42" s="34"/>
      <c r="F42" s="34"/>
      <c r="G42" s="29"/>
    </row>
    <row r="43" spans="1:7" ht="15.75" hidden="1">
      <c r="A43" s="34" t="s">
        <v>57</v>
      </c>
      <c r="B43" s="34"/>
      <c r="C43" s="34"/>
      <c r="D43" s="34"/>
      <c r="E43" s="34"/>
      <c r="F43" s="34"/>
      <c r="G43" s="29"/>
    </row>
    <row r="44" spans="1:7" ht="15.75">
      <c r="A44" s="34" t="s">
        <v>58</v>
      </c>
      <c r="B44" s="34"/>
      <c r="C44" s="34"/>
      <c r="D44" s="34"/>
      <c r="E44" s="34"/>
      <c r="F44" s="34"/>
      <c r="G44" s="29">
        <v>168</v>
      </c>
    </row>
    <row r="45" spans="1:7" ht="15.75">
      <c r="A45" s="34" t="s">
        <v>59</v>
      </c>
      <c r="B45" s="34"/>
      <c r="C45" s="34"/>
      <c r="D45" s="34"/>
      <c r="E45" s="34"/>
      <c r="F45" s="34"/>
      <c r="G45" s="29">
        <v>3150</v>
      </c>
    </row>
    <row r="46" spans="1:7" ht="15.75" hidden="1">
      <c r="A46" s="34" t="s">
        <v>60</v>
      </c>
      <c r="B46" s="34"/>
      <c r="C46" s="34"/>
      <c r="D46" s="34"/>
      <c r="E46" s="34"/>
      <c r="F46" s="34"/>
      <c r="G46" s="29"/>
    </row>
    <row r="47" spans="1:7" ht="15.75" hidden="1">
      <c r="A47" s="34" t="s">
        <v>61</v>
      </c>
      <c r="B47" s="34"/>
      <c r="C47" s="34"/>
      <c r="D47" s="34"/>
      <c r="E47" s="34"/>
      <c r="F47" s="34"/>
      <c r="G47" s="29"/>
    </row>
    <row r="48" spans="1:7" ht="15.75" hidden="1">
      <c r="A48" s="34" t="s">
        <v>62</v>
      </c>
      <c r="B48" s="34"/>
      <c r="C48" s="34"/>
      <c r="D48" s="34"/>
      <c r="E48" s="34"/>
      <c r="F48" s="34"/>
      <c r="G48" s="29"/>
    </row>
    <row r="49" spans="1:7" ht="15.75">
      <c r="A49" s="34" t="s">
        <v>63</v>
      </c>
      <c r="B49" s="34"/>
      <c r="C49" s="34"/>
      <c r="D49" s="34"/>
      <c r="E49" s="34"/>
      <c r="F49" s="34"/>
      <c r="G49" s="29">
        <v>3720</v>
      </c>
    </row>
    <row r="50" spans="1:7" ht="15.75" hidden="1">
      <c r="A50" s="34" t="s">
        <v>64</v>
      </c>
      <c r="B50" s="34"/>
      <c r="C50" s="34"/>
      <c r="D50" s="34"/>
      <c r="E50" s="34"/>
      <c r="F50" s="34"/>
      <c r="G50" s="29"/>
    </row>
    <row r="51" spans="1:7" ht="15.75" hidden="1">
      <c r="A51" s="34" t="s">
        <v>65</v>
      </c>
      <c r="B51" s="34"/>
      <c r="C51" s="34"/>
      <c r="D51" s="34"/>
      <c r="E51" s="34"/>
      <c r="F51" s="34"/>
      <c r="G51" s="29"/>
    </row>
    <row r="52" spans="1:7" ht="18.75" customHeight="1">
      <c r="A52" s="33" t="s">
        <v>66</v>
      </c>
      <c r="B52" s="33"/>
      <c r="C52" s="33"/>
      <c r="D52" s="33"/>
      <c r="E52" s="33"/>
      <c r="F52" s="33"/>
      <c r="G52" s="32">
        <f>G38+G39+G40+G41+G42+G43+G44+G45+G46+G47+G48+G49+G50+G51</f>
        <v>7038</v>
      </c>
    </row>
    <row r="53" spans="1:7" ht="21" customHeight="1">
      <c r="A53" s="33" t="s">
        <v>67</v>
      </c>
      <c r="B53" s="33"/>
      <c r="C53" s="33"/>
      <c r="D53" s="33"/>
      <c r="E53" s="33"/>
      <c r="F53" s="33"/>
      <c r="G53" s="32">
        <f>G35+G52</f>
        <v>82634.74507938526</v>
      </c>
    </row>
    <row r="54" spans="1:7" ht="15.75" customHeight="1" hidden="1">
      <c r="A54" s="28" t="s">
        <v>68</v>
      </c>
      <c r="B54" s="28"/>
      <c r="C54" s="28"/>
      <c r="D54" s="28"/>
      <c r="E54" s="28"/>
      <c r="F54" s="28"/>
      <c r="G54" s="29">
        <v>0</v>
      </c>
    </row>
    <row r="55" spans="1:7" ht="15.75">
      <c r="A55" s="41" t="s">
        <v>69</v>
      </c>
      <c r="B55" s="41"/>
      <c r="C55" s="41"/>
      <c r="D55" s="41"/>
      <c r="E55" s="41"/>
      <c r="F55" s="41"/>
      <c r="G55" s="29">
        <f>281.58*4+141.6*4+141.6*4+180*4</f>
        <v>2979.12</v>
      </c>
    </row>
    <row r="56" spans="1:7" ht="15.75" customHeight="1">
      <c r="A56" s="42" t="s">
        <v>70</v>
      </c>
      <c r="B56" s="42"/>
      <c r="C56" s="42"/>
      <c r="D56" s="42"/>
      <c r="E56" s="42"/>
      <c r="F56" s="42"/>
      <c r="G56" s="32">
        <f>B3*B5*4+G55</f>
        <v>99492.42</v>
      </c>
    </row>
    <row r="57" spans="1:7" ht="15.75" customHeight="1">
      <c r="A57" s="43" t="s">
        <v>71</v>
      </c>
      <c r="B57" s="43"/>
      <c r="C57" s="43"/>
      <c r="D57" s="43"/>
      <c r="E57" s="43"/>
      <c r="F57" s="43"/>
      <c r="G57" s="44">
        <v>13140.3</v>
      </c>
    </row>
    <row r="58" spans="1:7" ht="58.5" customHeight="1">
      <c r="A58" s="33" t="s">
        <v>80</v>
      </c>
      <c r="B58" s="33"/>
      <c r="C58" s="33"/>
      <c r="D58" s="33"/>
      <c r="E58" s="33"/>
      <c r="F58" s="33"/>
      <c r="G58" s="32">
        <f>G53-G56+G57-G54</f>
        <v>-3717.3749206147368</v>
      </c>
    </row>
    <row r="71" ht="15.75">
      <c r="A71" s="1" t="s">
        <v>135</v>
      </c>
    </row>
  </sheetData>
  <sheetProtection selectLockedCells="1" selectUnlockedCells="1"/>
  <mergeCells count="47">
    <mergeCell ref="A1:G1"/>
    <mergeCell ref="B2:E2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</mergeCells>
  <printOptions/>
  <pageMargins left="0.19652777777777777" right="0" top="0" bottom="0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0"/>
  </sheetPr>
  <dimension ref="A1:G59"/>
  <sheetViews>
    <sheetView zoomScale="75" zoomScaleNormal="75" workbookViewId="0" topLeftCell="A18">
      <pane ySplit="65535" topLeftCell="A18" activePane="topLeft" state="split"/>
      <selection pane="topLeft" activeCell="G58" activeCellId="1" sqref="A77:G138 G58"/>
      <selection pane="bottomLeft" activeCell="A18" sqref="A18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6.7109375" style="1" customWidth="1"/>
    <col min="8" max="16384" width="9.140625" style="1" customWidth="1"/>
  </cols>
  <sheetData>
    <row r="1" spans="1:7" ht="40.5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73</v>
      </c>
      <c r="B2" s="7" t="s">
        <v>136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75</v>
      </c>
      <c r="B3" s="10">
        <v>3142.7</v>
      </c>
      <c r="F3" s="8" t="s">
        <v>5</v>
      </c>
      <c r="G3" s="11">
        <v>4</v>
      </c>
    </row>
    <row r="4" spans="1:7" ht="18.75">
      <c r="A4" s="12" t="s">
        <v>76</v>
      </c>
      <c r="B4" s="13"/>
      <c r="F4" s="8" t="s">
        <v>8</v>
      </c>
      <c r="G4" s="9">
        <v>1963</v>
      </c>
    </row>
    <row r="5" spans="1:3" ht="16.5" customHeight="1">
      <c r="A5" s="12" t="s">
        <v>76</v>
      </c>
      <c r="B5" s="13">
        <v>9.49</v>
      </c>
      <c r="C5" s="1" t="s">
        <v>9</v>
      </c>
    </row>
    <row r="6" spans="1:7" ht="18.75" hidden="1">
      <c r="A6" s="14" t="s">
        <v>10</v>
      </c>
      <c r="B6" s="15">
        <v>236.6</v>
      </c>
      <c r="C6" s="16"/>
      <c r="D6" s="16"/>
      <c r="E6" s="16"/>
      <c r="F6" s="16"/>
      <c r="G6" s="16"/>
    </row>
    <row r="7" spans="1:7" ht="18.75" hidden="1">
      <c r="A7" s="14" t="s">
        <v>12</v>
      </c>
      <c r="B7" s="17">
        <v>0</v>
      </c>
      <c r="C7" s="16"/>
      <c r="D7" s="16"/>
      <c r="E7" s="16"/>
      <c r="F7" s="16"/>
      <c r="G7" s="16"/>
    </row>
    <row r="8" spans="1:7" ht="38.25" customHeight="1" hidden="1">
      <c r="A8" s="18" t="s">
        <v>13</v>
      </c>
      <c r="B8" s="19" t="s">
        <v>14</v>
      </c>
      <c r="C8" s="19" t="s">
        <v>15</v>
      </c>
      <c r="D8" s="19" t="s">
        <v>16</v>
      </c>
      <c r="E8" s="19" t="s">
        <v>17</v>
      </c>
      <c r="F8" s="16"/>
      <c r="G8" s="16"/>
    </row>
    <row r="9" spans="1:7" ht="20.25" customHeight="1" hidden="1">
      <c r="A9" s="14"/>
      <c r="B9" s="17">
        <v>1386</v>
      </c>
      <c r="C9" s="17">
        <v>1648</v>
      </c>
      <c r="D9" s="17">
        <v>458</v>
      </c>
      <c r="E9" s="17">
        <v>2576</v>
      </c>
      <c r="F9" s="16"/>
      <c r="G9" s="16"/>
    </row>
    <row r="10" spans="1:7" ht="18.75" hidden="1">
      <c r="A10" s="14" t="s">
        <v>18</v>
      </c>
      <c r="B10" s="20">
        <v>0</v>
      </c>
      <c r="C10" s="16"/>
      <c r="D10" s="16"/>
      <c r="E10" s="16"/>
      <c r="F10" s="16"/>
      <c r="G10" s="16"/>
    </row>
    <row r="11" spans="1:7" ht="19.5" hidden="1">
      <c r="A11" s="14" t="s">
        <v>19</v>
      </c>
      <c r="B11" s="20">
        <v>655.8</v>
      </c>
      <c r="C11" s="20">
        <v>634.7</v>
      </c>
      <c r="D11" s="20">
        <f>B11+C11</f>
        <v>1290.5</v>
      </c>
      <c r="E11" s="16"/>
      <c r="F11" s="16"/>
      <c r="G11" s="16"/>
    </row>
    <row r="12" spans="1:7" ht="50.25" customHeight="1" hidden="1">
      <c r="A12" s="14" t="s">
        <v>20</v>
      </c>
      <c r="B12" s="19" t="s">
        <v>21</v>
      </c>
      <c r="C12" s="21" t="s">
        <v>22</v>
      </c>
      <c r="D12" s="19" t="s">
        <v>23</v>
      </c>
      <c r="E12" s="22" t="s">
        <v>24</v>
      </c>
      <c r="F12" s="17" t="s">
        <v>25</v>
      </c>
      <c r="G12" s="16"/>
    </row>
    <row r="13" spans="1:7" ht="23.25" customHeight="1" hidden="1">
      <c r="A13" s="23"/>
      <c r="B13" s="24">
        <v>79</v>
      </c>
      <c r="C13" s="24">
        <v>79</v>
      </c>
      <c r="D13" s="24"/>
      <c r="E13" s="25">
        <f>D13+C13+B13</f>
        <v>158</v>
      </c>
      <c r="F13" s="17"/>
      <c r="G13" s="16"/>
    </row>
    <row r="14" spans="1:7" ht="18.75" customHeight="1">
      <c r="A14" s="26" t="s">
        <v>26</v>
      </c>
      <c r="B14" s="26"/>
      <c r="C14" s="26"/>
      <c r="D14" s="26"/>
      <c r="E14" s="26"/>
      <c r="F14" s="26"/>
      <c r="G14" s="27" t="s">
        <v>27</v>
      </c>
    </row>
    <row r="15" spans="1:7" ht="15.75">
      <c r="A15" s="28" t="s">
        <v>28</v>
      </c>
      <c r="B15" s="28"/>
      <c r="C15" s="28"/>
      <c r="D15" s="28"/>
      <c r="E15" s="28"/>
      <c r="F15" s="28"/>
      <c r="G15" s="29">
        <f>B6*7.012*4</f>
        <v>6636.1568</v>
      </c>
    </row>
    <row r="16" spans="1:7" ht="15.75" hidden="1">
      <c r="A16" s="28" t="s">
        <v>29</v>
      </c>
      <c r="B16" s="28"/>
      <c r="C16" s="28"/>
      <c r="D16" s="28"/>
      <c r="E16" s="28"/>
      <c r="F16" s="28"/>
      <c r="G16" s="29">
        <f>B7*35.705*12</f>
        <v>0</v>
      </c>
    </row>
    <row r="17" spans="1:7" ht="15.75" hidden="1">
      <c r="A17" s="28" t="s">
        <v>30</v>
      </c>
      <c r="B17" s="28"/>
      <c r="C17" s="28"/>
      <c r="D17" s="28"/>
      <c r="E17" s="28"/>
      <c r="F17" s="28"/>
      <c r="G17" s="29">
        <f>B10*0.3613*12</f>
        <v>0</v>
      </c>
    </row>
    <row r="18" spans="1:7" ht="15.75">
      <c r="A18" s="28" t="s">
        <v>31</v>
      </c>
      <c r="B18" s="28"/>
      <c r="C18" s="28"/>
      <c r="D18" s="28"/>
      <c r="E18" s="28"/>
      <c r="F18" s="28"/>
      <c r="G18" s="29">
        <f>(B9*9.46/100*64)+(C9*7.09/100*38)+(D9*23.66/100*26)+(E9*1.77/100*5)</f>
        <v>15876.8488</v>
      </c>
    </row>
    <row r="19" spans="1:7" ht="15.75" customHeight="1">
      <c r="A19" s="30" t="s">
        <v>32</v>
      </c>
      <c r="B19" s="30"/>
      <c r="C19" s="30"/>
      <c r="D19" s="30"/>
      <c r="E19" s="30"/>
      <c r="F19" s="30"/>
      <c r="G19" s="31">
        <f>574906.73/199064.79*B3</f>
        <v>9076.237843824614</v>
      </c>
    </row>
    <row r="20" spans="1:7" ht="15.75">
      <c r="A20" s="28" t="s">
        <v>33</v>
      </c>
      <c r="B20" s="28"/>
      <c r="C20" s="28"/>
      <c r="D20" s="28"/>
      <c r="E20" s="28"/>
      <c r="F20" s="28"/>
      <c r="G20" s="29">
        <f>D11*0.14*2</f>
        <v>361.34000000000003</v>
      </c>
    </row>
    <row r="21" spans="1:7" ht="15.75">
      <c r="A21" s="28" t="s">
        <v>34</v>
      </c>
      <c r="B21" s="28"/>
      <c r="C21" s="28"/>
      <c r="D21" s="28"/>
      <c r="E21" s="28"/>
      <c r="F21" s="28"/>
      <c r="G21" s="29">
        <f>95.95+4078.08+1055.39+4413.39</f>
        <v>9642.810000000001</v>
      </c>
    </row>
    <row r="22" spans="1:7" ht="15.75">
      <c r="A22" s="28" t="s">
        <v>35</v>
      </c>
      <c r="B22" s="28"/>
      <c r="C22" s="28"/>
      <c r="D22" s="28"/>
      <c r="E22" s="28"/>
      <c r="F22" s="28"/>
      <c r="G22" s="29">
        <f>B3*0.845*4</f>
        <v>10622.326</v>
      </c>
    </row>
    <row r="23" spans="1:7" ht="15.75" hidden="1">
      <c r="A23" s="28" t="s">
        <v>36</v>
      </c>
      <c r="B23" s="28"/>
      <c r="C23" s="28"/>
      <c r="D23" s="28"/>
      <c r="E23" s="28"/>
      <c r="F23" s="28"/>
      <c r="G23" s="29">
        <v>0</v>
      </c>
    </row>
    <row r="24" spans="1:7" ht="15.75" hidden="1">
      <c r="A24" s="28" t="s">
        <v>37</v>
      </c>
      <c r="B24" s="28"/>
      <c r="C24" s="28"/>
      <c r="D24" s="28"/>
      <c r="E24" s="28"/>
      <c r="F24" s="28"/>
      <c r="G24" s="29">
        <v>0</v>
      </c>
    </row>
    <row r="25" spans="1:7" ht="15.75" hidden="1">
      <c r="A25" s="28" t="s">
        <v>38</v>
      </c>
      <c r="B25" s="28"/>
      <c r="C25" s="28"/>
      <c r="D25" s="28"/>
      <c r="E25" s="28"/>
      <c r="F25" s="28"/>
      <c r="G25" s="29">
        <v>0</v>
      </c>
    </row>
    <row r="26" spans="1:7" ht="15.75">
      <c r="A26" s="28" t="s">
        <v>39</v>
      </c>
      <c r="B26" s="28"/>
      <c r="C26" s="28"/>
      <c r="D26" s="28"/>
      <c r="E26" s="28"/>
      <c r="F26" s="28"/>
      <c r="G26" s="29">
        <f>4*352+4*251.46</f>
        <v>2413.84</v>
      </c>
    </row>
    <row r="27" spans="1:7" ht="15.75" hidden="1">
      <c r="A27" s="28" t="s">
        <v>40</v>
      </c>
      <c r="B27" s="28"/>
      <c r="C27" s="28"/>
      <c r="D27" s="28"/>
      <c r="E27" s="28"/>
      <c r="F27" s="28"/>
      <c r="G27" s="29">
        <v>0</v>
      </c>
    </row>
    <row r="28" spans="1:7" ht="15.75" hidden="1">
      <c r="A28" s="28" t="s">
        <v>41</v>
      </c>
      <c r="B28" s="28"/>
      <c r="C28" s="28"/>
      <c r="D28" s="28"/>
      <c r="E28" s="28"/>
      <c r="F28" s="28"/>
      <c r="G28" s="29">
        <v>0</v>
      </c>
    </row>
    <row r="29" spans="1:7" ht="15.75" hidden="1">
      <c r="A29" s="28" t="s">
        <v>42</v>
      </c>
      <c r="B29" s="28"/>
      <c r="C29" s="28"/>
      <c r="D29" s="28"/>
      <c r="E29" s="28"/>
      <c r="F29" s="28"/>
      <c r="G29" s="29">
        <v>0</v>
      </c>
    </row>
    <row r="30" spans="1:7" ht="15.75">
      <c r="A30" s="28" t="s">
        <v>43</v>
      </c>
      <c r="B30" s="28"/>
      <c r="C30" s="28"/>
      <c r="D30" s="28"/>
      <c r="E30" s="28"/>
      <c r="F30" s="28"/>
      <c r="G30" s="29">
        <f>B3*1.75*4</f>
        <v>21998.899999999998</v>
      </c>
    </row>
    <row r="31" spans="1:7" ht="15.75" customHeight="1">
      <c r="A31" s="30" t="s">
        <v>44</v>
      </c>
      <c r="B31" s="30"/>
      <c r="C31" s="30"/>
      <c r="D31" s="30"/>
      <c r="E31" s="30"/>
      <c r="F31" s="30"/>
      <c r="G31" s="29">
        <f>(F13*4*8.57)+(B13*2*3.14)+(C13*1*3.14)+(D13*1*3.14)</f>
        <v>744.1800000000001</v>
      </c>
    </row>
    <row r="32" spans="1:7" ht="15.75">
      <c r="A32" s="28" t="s">
        <v>45</v>
      </c>
      <c r="B32" s="28"/>
      <c r="C32" s="28"/>
      <c r="D32" s="28"/>
      <c r="E32" s="28"/>
      <c r="F32" s="28"/>
      <c r="G32" s="29">
        <f>B3*0.65*4</f>
        <v>8171.0199999999995</v>
      </c>
    </row>
    <row r="33" spans="1:7" ht="15.75">
      <c r="A33" s="28" t="s">
        <v>46</v>
      </c>
      <c r="B33" s="28"/>
      <c r="C33" s="28"/>
      <c r="D33" s="28"/>
      <c r="E33" s="28"/>
      <c r="F33" s="28"/>
      <c r="G33" s="29">
        <f>B3*0.2*4</f>
        <v>2514.16</v>
      </c>
    </row>
    <row r="34" spans="1:7" ht="15.75">
      <c r="A34" s="28" t="s">
        <v>47</v>
      </c>
      <c r="B34" s="28"/>
      <c r="C34" s="28"/>
      <c r="D34" s="28"/>
      <c r="E34" s="28"/>
      <c r="F34" s="28"/>
      <c r="G34" s="29">
        <f>B3*0.7*4</f>
        <v>8799.56</v>
      </c>
    </row>
    <row r="35" spans="1:7" ht="15.75">
      <c r="A35" s="26" t="s">
        <v>48</v>
      </c>
      <c r="B35" s="26"/>
      <c r="C35" s="26"/>
      <c r="D35" s="26"/>
      <c r="E35" s="26"/>
      <c r="F35" s="26"/>
      <c r="G35" s="32">
        <f>G15+G16+G17+G18+G19+G20+G21+G22+G23+G24+G26+G30+G31+G32+G33+G34+G27+G28+G29+G25</f>
        <v>96857.37944382461</v>
      </c>
    </row>
    <row r="36" spans="1:7" ht="20.25" customHeight="1">
      <c r="A36" s="33" t="s">
        <v>49</v>
      </c>
      <c r="B36" s="33"/>
      <c r="C36" s="33"/>
      <c r="D36" s="33"/>
      <c r="E36" s="33"/>
      <c r="F36" s="33"/>
      <c r="G36" s="29"/>
    </row>
    <row r="37" spans="1:7" ht="15.75" hidden="1">
      <c r="A37" s="28" t="s">
        <v>50</v>
      </c>
      <c r="B37" s="28"/>
      <c r="C37" s="28"/>
      <c r="D37" s="28"/>
      <c r="E37" s="28"/>
      <c r="F37" s="28"/>
      <c r="G37" s="29">
        <f>B3*2.96*12</f>
        <v>111628.704</v>
      </c>
    </row>
    <row r="38" spans="1:7" ht="15.75">
      <c r="A38" s="28" t="s">
        <v>51</v>
      </c>
      <c r="B38" s="28"/>
      <c r="C38" s="28"/>
      <c r="D38" s="28"/>
      <c r="E38" s="28"/>
      <c r="F38" s="28"/>
      <c r="G38" s="29"/>
    </row>
    <row r="39" spans="1:7" ht="15.75" hidden="1">
      <c r="A39" s="34" t="s">
        <v>52</v>
      </c>
      <c r="B39" s="34"/>
      <c r="C39" s="34"/>
      <c r="D39" s="34"/>
      <c r="E39" s="34"/>
      <c r="F39" s="34"/>
      <c r="G39" s="29"/>
    </row>
    <row r="40" spans="1:7" ht="15.75" hidden="1">
      <c r="A40" s="34" t="s">
        <v>53</v>
      </c>
      <c r="B40" s="34"/>
      <c r="C40" s="34"/>
      <c r="D40" s="34"/>
      <c r="E40" s="34"/>
      <c r="F40" s="34"/>
      <c r="G40" s="29"/>
    </row>
    <row r="41" spans="1:7" ht="15.75" hidden="1">
      <c r="A41" s="34" t="s">
        <v>54</v>
      </c>
      <c r="B41" s="34"/>
      <c r="C41" s="34"/>
      <c r="D41" s="34"/>
      <c r="E41" s="34"/>
      <c r="F41" s="34"/>
      <c r="G41" s="29"/>
    </row>
    <row r="42" spans="1:7" ht="15.75" hidden="1">
      <c r="A42" s="34" t="s">
        <v>55</v>
      </c>
      <c r="B42" s="34"/>
      <c r="C42" s="34"/>
      <c r="D42" s="34"/>
      <c r="E42" s="34"/>
      <c r="F42" s="34"/>
      <c r="G42" s="29"/>
    </row>
    <row r="43" spans="1:7" ht="15.75" hidden="1">
      <c r="A43" s="34" t="s">
        <v>56</v>
      </c>
      <c r="B43" s="34"/>
      <c r="C43" s="34"/>
      <c r="D43" s="34"/>
      <c r="E43" s="34"/>
      <c r="F43" s="34"/>
      <c r="G43" s="29"/>
    </row>
    <row r="44" spans="1:7" ht="15.75" hidden="1">
      <c r="A44" s="34" t="s">
        <v>57</v>
      </c>
      <c r="B44" s="34"/>
      <c r="C44" s="34"/>
      <c r="D44" s="34"/>
      <c r="E44" s="34"/>
      <c r="F44" s="34"/>
      <c r="G44" s="29"/>
    </row>
    <row r="45" spans="1:7" ht="15.75">
      <c r="A45" s="34" t="s">
        <v>58</v>
      </c>
      <c r="B45" s="34"/>
      <c r="C45" s="34"/>
      <c r="D45" s="34"/>
      <c r="E45" s="34"/>
      <c r="F45" s="34"/>
      <c r="G45" s="29">
        <v>168</v>
      </c>
    </row>
    <row r="46" spans="1:7" ht="15.75">
      <c r="A46" s="34" t="s">
        <v>59</v>
      </c>
      <c r="B46" s="34"/>
      <c r="C46" s="34"/>
      <c r="D46" s="34"/>
      <c r="E46" s="34"/>
      <c r="F46" s="34"/>
      <c r="G46" s="29">
        <v>4870</v>
      </c>
    </row>
    <row r="47" spans="1:7" ht="15.75" hidden="1">
      <c r="A47" s="34" t="s">
        <v>60</v>
      </c>
      <c r="B47" s="34"/>
      <c r="C47" s="34"/>
      <c r="D47" s="34"/>
      <c r="E47" s="34"/>
      <c r="F47" s="34"/>
      <c r="G47" s="29"/>
    </row>
    <row r="48" spans="1:7" ht="15.75" hidden="1">
      <c r="A48" s="34" t="s">
        <v>61</v>
      </c>
      <c r="B48" s="34"/>
      <c r="C48" s="34"/>
      <c r="D48" s="34"/>
      <c r="E48" s="34"/>
      <c r="F48" s="34"/>
      <c r="G48" s="29"/>
    </row>
    <row r="49" spans="1:7" ht="15.75">
      <c r="A49" s="34" t="s">
        <v>62</v>
      </c>
      <c r="B49" s="34"/>
      <c r="C49" s="34"/>
      <c r="D49" s="34"/>
      <c r="E49" s="34"/>
      <c r="F49" s="34"/>
      <c r="G49" s="29">
        <v>2340</v>
      </c>
    </row>
    <row r="50" spans="1:7" ht="15.75" hidden="1">
      <c r="A50" s="34" t="s">
        <v>63</v>
      </c>
      <c r="B50" s="34"/>
      <c r="C50" s="34"/>
      <c r="D50" s="34"/>
      <c r="E50" s="34"/>
      <c r="F50" s="34"/>
      <c r="G50" s="29"/>
    </row>
    <row r="51" spans="1:7" ht="15.75" hidden="1">
      <c r="A51" s="34" t="s">
        <v>64</v>
      </c>
      <c r="B51" s="34"/>
      <c r="C51" s="34"/>
      <c r="D51" s="34"/>
      <c r="E51" s="34"/>
      <c r="F51" s="34"/>
      <c r="G51" s="29"/>
    </row>
    <row r="52" spans="1:7" ht="15.75" hidden="1">
      <c r="A52" s="34" t="s">
        <v>65</v>
      </c>
      <c r="B52" s="34"/>
      <c r="C52" s="34"/>
      <c r="D52" s="34"/>
      <c r="E52" s="34"/>
      <c r="F52" s="34"/>
      <c r="G52" s="29"/>
    </row>
    <row r="53" spans="1:7" ht="18.75" customHeight="1">
      <c r="A53" s="33" t="s">
        <v>66</v>
      </c>
      <c r="B53" s="33"/>
      <c r="C53" s="33"/>
      <c r="D53" s="33"/>
      <c r="E53" s="33"/>
      <c r="F53" s="33"/>
      <c r="G53" s="32">
        <f>G39+G40+G41+G42+G43+G44+G45+G46+G47+G48+G49+G50+G51+G52</f>
        <v>7378</v>
      </c>
    </row>
    <row r="54" spans="1:7" ht="21" customHeight="1">
      <c r="A54" s="33" t="s">
        <v>67</v>
      </c>
      <c r="B54" s="33"/>
      <c r="C54" s="33"/>
      <c r="D54" s="33"/>
      <c r="E54" s="33"/>
      <c r="F54" s="33"/>
      <c r="G54" s="32">
        <f>G35+G53</f>
        <v>104235.37944382461</v>
      </c>
    </row>
    <row r="55" spans="1:7" ht="15.75" hidden="1">
      <c r="A55" s="28" t="s">
        <v>68</v>
      </c>
      <c r="B55" s="28"/>
      <c r="C55" s="28"/>
      <c r="D55" s="28"/>
      <c r="E55" s="28"/>
      <c r="F55" s="28"/>
      <c r="G55" s="29">
        <v>0</v>
      </c>
    </row>
    <row r="56" spans="1:7" ht="15.75">
      <c r="A56" s="41" t="s">
        <v>69</v>
      </c>
      <c r="B56" s="41"/>
      <c r="C56" s="41"/>
      <c r="D56" s="41"/>
      <c r="E56" s="41"/>
      <c r="F56" s="41"/>
      <c r="G56" s="29">
        <f>281.58*4+141.6*4+180*4</f>
        <v>2412.72</v>
      </c>
    </row>
    <row r="57" spans="1:7" ht="15.75" customHeight="1">
      <c r="A57" s="42" t="s">
        <v>70</v>
      </c>
      <c r="B57" s="42"/>
      <c r="C57" s="42"/>
      <c r="D57" s="42"/>
      <c r="E57" s="42"/>
      <c r="F57" s="42"/>
      <c r="G57" s="32">
        <f>B3*B5*4+G56</f>
        <v>121709.612</v>
      </c>
    </row>
    <row r="58" spans="1:7" ht="15.75" customHeight="1">
      <c r="A58" s="43" t="s">
        <v>71</v>
      </c>
      <c r="B58" s="43"/>
      <c r="C58" s="43"/>
      <c r="D58" s="43"/>
      <c r="E58" s="43"/>
      <c r="F58" s="43"/>
      <c r="G58" s="44">
        <v>18834.72</v>
      </c>
    </row>
    <row r="59" spans="1:7" ht="58.5" customHeight="1">
      <c r="A59" s="33" t="s">
        <v>80</v>
      </c>
      <c r="B59" s="33"/>
      <c r="C59" s="33"/>
      <c r="D59" s="33"/>
      <c r="E59" s="33"/>
      <c r="F59" s="33"/>
      <c r="G59" s="32">
        <f>G54-G57+G58-G55</f>
        <v>1360.4874438246188</v>
      </c>
    </row>
  </sheetData>
  <sheetProtection selectLockedCells="1" selectUnlockedCells="1"/>
  <mergeCells count="48">
    <mergeCell ref="A1:G1"/>
    <mergeCell ref="B2:E2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printOptions/>
  <pageMargins left="0.19652777777777777" right="0" top="0" bottom="0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0"/>
  </sheetPr>
  <dimension ref="A1:G59"/>
  <sheetViews>
    <sheetView zoomScale="75" zoomScaleNormal="75" workbookViewId="0" topLeftCell="A26">
      <pane ySplit="65535" topLeftCell="A26" activePane="topLeft" state="split"/>
      <selection pane="topLeft" activeCell="G58" activeCellId="1" sqref="A77:G138 G58"/>
      <selection pane="bottomLeft" activeCell="A26" sqref="A26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6.7109375" style="1" customWidth="1"/>
    <col min="8" max="16384" width="9.140625" style="1" customWidth="1"/>
  </cols>
  <sheetData>
    <row r="1" spans="1:7" ht="40.5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73</v>
      </c>
      <c r="B2" s="7" t="s">
        <v>137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75</v>
      </c>
      <c r="B3" s="10">
        <v>3126.4</v>
      </c>
      <c r="F3" s="8" t="s">
        <v>5</v>
      </c>
      <c r="G3" s="11">
        <v>4</v>
      </c>
    </row>
    <row r="4" spans="1:7" ht="18.75">
      <c r="A4" s="12" t="s">
        <v>76</v>
      </c>
      <c r="B4" s="13"/>
      <c r="F4" s="8" t="s">
        <v>8</v>
      </c>
      <c r="G4" s="9">
        <v>1963</v>
      </c>
    </row>
    <row r="5" spans="1:3" ht="16.5" customHeight="1">
      <c r="A5" s="12" t="s">
        <v>76</v>
      </c>
      <c r="B5" s="13">
        <v>9.49</v>
      </c>
      <c r="C5" s="1" t="s">
        <v>9</v>
      </c>
    </row>
    <row r="6" spans="1:7" ht="18.75" hidden="1">
      <c r="A6" s="14" t="s">
        <v>10</v>
      </c>
      <c r="B6" s="15">
        <v>246.4</v>
      </c>
      <c r="C6" s="16"/>
      <c r="D6" s="16"/>
      <c r="E6" s="16"/>
      <c r="F6" s="16"/>
      <c r="G6" s="16"/>
    </row>
    <row r="7" spans="1:7" ht="18.75" hidden="1">
      <c r="A7" s="14" t="s">
        <v>12</v>
      </c>
      <c r="B7" s="17">
        <v>0</v>
      </c>
      <c r="C7" s="16"/>
      <c r="D7" s="16"/>
      <c r="E7" s="16"/>
      <c r="F7" s="16"/>
      <c r="G7" s="16"/>
    </row>
    <row r="8" spans="1:7" ht="38.25" customHeight="1" hidden="1">
      <c r="A8" s="18" t="s">
        <v>13</v>
      </c>
      <c r="B8" s="19" t="s">
        <v>14</v>
      </c>
      <c r="C8" s="19" t="s">
        <v>15</v>
      </c>
      <c r="D8" s="19" t="s">
        <v>16</v>
      </c>
      <c r="E8" s="19" t="s">
        <v>17</v>
      </c>
      <c r="F8" s="16"/>
      <c r="G8" s="16"/>
    </row>
    <row r="9" spans="1:7" ht="20.25" customHeight="1" hidden="1">
      <c r="A9" s="14"/>
      <c r="B9" s="17">
        <v>1299</v>
      </c>
      <c r="C9" s="17">
        <v>3739</v>
      </c>
      <c r="D9" s="17">
        <v>512</v>
      </c>
      <c r="E9" s="17">
        <v>4526</v>
      </c>
      <c r="F9" s="16"/>
      <c r="G9" s="16"/>
    </row>
    <row r="10" spans="1:7" ht="18.75" hidden="1">
      <c r="A10" s="14" t="s">
        <v>18</v>
      </c>
      <c r="B10" s="20">
        <v>0</v>
      </c>
      <c r="C10" s="16"/>
      <c r="D10" s="16"/>
      <c r="E10" s="16"/>
      <c r="F10" s="16"/>
      <c r="G10" s="16"/>
    </row>
    <row r="11" spans="1:7" ht="19.5" hidden="1">
      <c r="A11" s="14" t="s">
        <v>19</v>
      </c>
      <c r="B11" s="20">
        <v>629</v>
      </c>
      <c r="C11" s="20">
        <v>625.3</v>
      </c>
      <c r="D11" s="20">
        <f>B11+C11</f>
        <v>1254.3</v>
      </c>
      <c r="E11" s="16"/>
      <c r="F11" s="16"/>
      <c r="G11" s="16"/>
    </row>
    <row r="12" spans="1:7" ht="50.25" customHeight="1" hidden="1">
      <c r="A12" s="14" t="s">
        <v>20</v>
      </c>
      <c r="B12" s="19" t="s">
        <v>21</v>
      </c>
      <c r="C12" s="21" t="s">
        <v>22</v>
      </c>
      <c r="D12" s="19" t="s">
        <v>23</v>
      </c>
      <c r="E12" s="22" t="s">
        <v>24</v>
      </c>
      <c r="F12" s="17" t="s">
        <v>25</v>
      </c>
      <c r="G12" s="16"/>
    </row>
    <row r="13" spans="1:7" ht="23.25" customHeight="1" hidden="1">
      <c r="A13" s="23"/>
      <c r="B13" s="24">
        <v>80</v>
      </c>
      <c r="C13" s="24">
        <v>80</v>
      </c>
      <c r="D13" s="24"/>
      <c r="E13" s="25">
        <f>D13+C13+B13</f>
        <v>160</v>
      </c>
      <c r="F13" s="17"/>
      <c r="G13" s="16"/>
    </row>
    <row r="14" spans="1:7" ht="18.75" customHeight="1">
      <c r="A14" s="26" t="s">
        <v>26</v>
      </c>
      <c r="B14" s="26"/>
      <c r="C14" s="26"/>
      <c r="D14" s="26"/>
      <c r="E14" s="26"/>
      <c r="F14" s="26"/>
      <c r="G14" s="27" t="s">
        <v>27</v>
      </c>
    </row>
    <row r="15" spans="1:7" ht="15.75">
      <c r="A15" s="28" t="s">
        <v>28</v>
      </c>
      <c r="B15" s="28"/>
      <c r="C15" s="28"/>
      <c r="D15" s="28"/>
      <c r="E15" s="28"/>
      <c r="F15" s="28"/>
      <c r="G15" s="29">
        <f>B6*7.012*4</f>
        <v>6911.0271999999995</v>
      </c>
    </row>
    <row r="16" spans="1:7" ht="15.75" hidden="1">
      <c r="A16" s="28" t="s">
        <v>29</v>
      </c>
      <c r="B16" s="28"/>
      <c r="C16" s="28"/>
      <c r="D16" s="28"/>
      <c r="E16" s="28"/>
      <c r="F16" s="28"/>
      <c r="G16" s="29">
        <f>B7*35.705*12</f>
        <v>0</v>
      </c>
    </row>
    <row r="17" spans="1:7" ht="15.75" hidden="1">
      <c r="A17" s="28" t="s">
        <v>30</v>
      </c>
      <c r="B17" s="28"/>
      <c r="C17" s="28"/>
      <c r="D17" s="28"/>
      <c r="E17" s="28"/>
      <c r="F17" s="28"/>
      <c r="G17" s="29">
        <f>B10*0.3613*12</f>
        <v>0</v>
      </c>
    </row>
    <row r="18" spans="1:7" ht="15.75">
      <c r="A18" s="28" t="s">
        <v>31</v>
      </c>
      <c r="B18" s="28"/>
      <c r="C18" s="28"/>
      <c r="D18" s="28"/>
      <c r="E18" s="28"/>
      <c r="F18" s="28"/>
      <c r="G18" s="29">
        <f>(B9*9.46/100*64)+(C9*7.09/100*38)+(D9*23.66/100*26)+(E9*1.77/100*5)</f>
        <v>21488.4496</v>
      </c>
    </row>
    <row r="19" spans="1:7" ht="15.75" customHeight="1">
      <c r="A19" s="30" t="s">
        <v>32</v>
      </c>
      <c r="B19" s="30"/>
      <c r="C19" s="30"/>
      <c r="D19" s="30"/>
      <c r="E19" s="30"/>
      <c r="F19" s="30"/>
      <c r="G19" s="31">
        <f>574906.73/199064.79*B3</f>
        <v>9029.162820165233</v>
      </c>
    </row>
    <row r="20" spans="1:7" ht="15.75">
      <c r="A20" s="28" t="s">
        <v>33</v>
      </c>
      <c r="B20" s="28"/>
      <c r="C20" s="28"/>
      <c r="D20" s="28"/>
      <c r="E20" s="28"/>
      <c r="F20" s="28"/>
      <c r="G20" s="29">
        <f>D11*0.14*2</f>
        <v>351.204</v>
      </c>
    </row>
    <row r="21" spans="1:7" ht="15.75">
      <c r="A21" s="28" t="s">
        <v>34</v>
      </c>
      <c r="B21" s="28"/>
      <c r="C21" s="28"/>
      <c r="D21" s="28"/>
      <c r="E21" s="28"/>
      <c r="F21" s="28"/>
      <c r="G21" s="29">
        <f>95.95+4078.08+1055.39+4413.39</f>
        <v>9642.810000000001</v>
      </c>
    </row>
    <row r="22" spans="1:7" ht="15.75">
      <c r="A22" s="28" t="s">
        <v>35</v>
      </c>
      <c r="B22" s="28"/>
      <c r="C22" s="28"/>
      <c r="D22" s="28"/>
      <c r="E22" s="28"/>
      <c r="F22" s="28"/>
      <c r="G22" s="29">
        <f>B3*0.845*4</f>
        <v>10567.232</v>
      </c>
    </row>
    <row r="23" spans="1:7" ht="15.75" hidden="1">
      <c r="A23" s="28" t="s">
        <v>36</v>
      </c>
      <c r="B23" s="28"/>
      <c r="C23" s="28"/>
      <c r="D23" s="28"/>
      <c r="E23" s="28"/>
      <c r="F23" s="28"/>
      <c r="G23" s="29">
        <v>0</v>
      </c>
    </row>
    <row r="24" spans="1:7" ht="15.75" hidden="1">
      <c r="A24" s="28" t="s">
        <v>37</v>
      </c>
      <c r="B24" s="28"/>
      <c r="C24" s="28"/>
      <c r="D24" s="28"/>
      <c r="E24" s="28"/>
      <c r="F24" s="28"/>
      <c r="G24" s="29">
        <v>0</v>
      </c>
    </row>
    <row r="25" spans="1:7" ht="15.75" hidden="1">
      <c r="A25" s="28" t="s">
        <v>38</v>
      </c>
      <c r="B25" s="28"/>
      <c r="C25" s="28"/>
      <c r="D25" s="28"/>
      <c r="E25" s="28"/>
      <c r="F25" s="28"/>
      <c r="G25" s="29">
        <v>0</v>
      </c>
    </row>
    <row r="26" spans="1:7" ht="15.75">
      <c r="A26" s="28" t="s">
        <v>39</v>
      </c>
      <c r="B26" s="28"/>
      <c r="C26" s="28"/>
      <c r="D26" s="28"/>
      <c r="E26" s="28"/>
      <c r="F26" s="28"/>
      <c r="G26" s="29">
        <f>4*352+4*251.46</f>
        <v>2413.84</v>
      </c>
    </row>
    <row r="27" spans="1:7" ht="15.75" hidden="1">
      <c r="A27" s="28" t="s">
        <v>40</v>
      </c>
      <c r="B27" s="28"/>
      <c r="C27" s="28"/>
      <c r="D27" s="28"/>
      <c r="E27" s="28"/>
      <c r="F27" s="28"/>
      <c r="G27" s="29">
        <v>0</v>
      </c>
    </row>
    <row r="28" spans="1:7" ht="15.75" hidden="1">
      <c r="A28" s="28" t="s">
        <v>41</v>
      </c>
      <c r="B28" s="28"/>
      <c r="C28" s="28"/>
      <c r="D28" s="28"/>
      <c r="E28" s="28"/>
      <c r="F28" s="28"/>
      <c r="G28" s="29">
        <v>0</v>
      </c>
    </row>
    <row r="29" spans="1:7" ht="15.75" hidden="1">
      <c r="A29" s="28" t="s">
        <v>42</v>
      </c>
      <c r="B29" s="28"/>
      <c r="C29" s="28"/>
      <c r="D29" s="28"/>
      <c r="E29" s="28"/>
      <c r="F29" s="28"/>
      <c r="G29" s="29">
        <v>0</v>
      </c>
    </row>
    <row r="30" spans="1:7" ht="15.75">
      <c r="A30" s="28" t="s">
        <v>43</v>
      </c>
      <c r="B30" s="28"/>
      <c r="C30" s="28"/>
      <c r="D30" s="28"/>
      <c r="E30" s="28"/>
      <c r="F30" s="28"/>
      <c r="G30" s="29">
        <f>B3*1.75*4</f>
        <v>21884.8</v>
      </c>
    </row>
    <row r="31" spans="1:7" ht="15.75" customHeight="1">
      <c r="A31" s="30" t="s">
        <v>44</v>
      </c>
      <c r="B31" s="30"/>
      <c r="C31" s="30"/>
      <c r="D31" s="30"/>
      <c r="E31" s="30"/>
      <c r="F31" s="30"/>
      <c r="G31" s="29">
        <f>(F13*4*8.57)+(B13*2*3.14)+(C13*1*3.14)+(D13*1*3.14)</f>
        <v>753.6</v>
      </c>
    </row>
    <row r="32" spans="1:7" ht="15.75">
      <c r="A32" s="28" t="s">
        <v>45</v>
      </c>
      <c r="B32" s="28"/>
      <c r="C32" s="28"/>
      <c r="D32" s="28"/>
      <c r="E32" s="28"/>
      <c r="F32" s="28"/>
      <c r="G32" s="29">
        <f>B3*0.65*4</f>
        <v>8128.64</v>
      </c>
    </row>
    <row r="33" spans="1:7" ht="15.75">
      <c r="A33" s="28" t="s">
        <v>46</v>
      </c>
      <c r="B33" s="28"/>
      <c r="C33" s="28"/>
      <c r="D33" s="28"/>
      <c r="E33" s="28"/>
      <c r="F33" s="28"/>
      <c r="G33" s="29">
        <f>B3*0.2*4</f>
        <v>2501.1200000000003</v>
      </c>
    </row>
    <row r="34" spans="1:7" ht="15.75">
      <c r="A34" s="28" t="s">
        <v>47</v>
      </c>
      <c r="B34" s="28"/>
      <c r="C34" s="28"/>
      <c r="D34" s="28"/>
      <c r="E34" s="28"/>
      <c r="F34" s="28"/>
      <c r="G34" s="29">
        <f>B3*0.7*4</f>
        <v>8753.92</v>
      </c>
    </row>
    <row r="35" spans="1:7" ht="15.75">
      <c r="A35" s="26" t="s">
        <v>48</v>
      </c>
      <c r="B35" s="26"/>
      <c r="C35" s="26"/>
      <c r="D35" s="26"/>
      <c r="E35" s="26"/>
      <c r="F35" s="26"/>
      <c r="G35" s="32">
        <f>G15+G16+G17+G18+G19+G20+G21+G22+G23+G24+G26+G30+G31+G32+G33+G34+G27+G28+G29+G25</f>
        <v>102425.80562016524</v>
      </c>
    </row>
    <row r="36" spans="1:7" ht="20.25" customHeight="1">
      <c r="A36" s="33" t="s">
        <v>49</v>
      </c>
      <c r="B36" s="33"/>
      <c r="C36" s="33"/>
      <c r="D36" s="33"/>
      <c r="E36" s="33"/>
      <c r="F36" s="33"/>
      <c r="G36" s="29"/>
    </row>
    <row r="37" spans="1:7" ht="15.75" hidden="1">
      <c r="A37" s="28" t="s">
        <v>50</v>
      </c>
      <c r="B37" s="28"/>
      <c r="C37" s="28"/>
      <c r="D37" s="28"/>
      <c r="E37" s="28"/>
      <c r="F37" s="28"/>
      <c r="G37" s="29">
        <f>B3*2.96*12</f>
        <v>111049.728</v>
      </c>
    </row>
    <row r="38" spans="1:7" ht="15.75">
      <c r="A38" s="28" t="s">
        <v>51</v>
      </c>
      <c r="B38" s="28"/>
      <c r="C38" s="28"/>
      <c r="D38" s="28"/>
      <c r="E38" s="28"/>
      <c r="F38" s="28"/>
      <c r="G38" s="29"/>
    </row>
    <row r="39" spans="1:7" ht="15.75">
      <c r="A39" s="34" t="s">
        <v>52</v>
      </c>
      <c r="B39" s="34"/>
      <c r="C39" s="34"/>
      <c r="D39" s="34"/>
      <c r="E39" s="34"/>
      <c r="F39" s="34"/>
      <c r="G39" s="29">
        <v>550</v>
      </c>
    </row>
    <row r="40" spans="1:7" ht="15.75">
      <c r="A40" s="34" t="s">
        <v>53</v>
      </c>
      <c r="B40" s="34"/>
      <c r="C40" s="34"/>
      <c r="D40" s="34"/>
      <c r="E40" s="34"/>
      <c r="F40" s="34"/>
      <c r="G40" s="29">
        <v>3400</v>
      </c>
    </row>
    <row r="41" spans="1:7" ht="15.75" hidden="1">
      <c r="A41" s="34" t="s">
        <v>54</v>
      </c>
      <c r="B41" s="34"/>
      <c r="C41" s="34"/>
      <c r="D41" s="34"/>
      <c r="E41" s="34"/>
      <c r="F41" s="34"/>
      <c r="G41" s="29"/>
    </row>
    <row r="42" spans="1:7" ht="15.75" hidden="1">
      <c r="A42" s="34" t="s">
        <v>55</v>
      </c>
      <c r="B42" s="34"/>
      <c r="C42" s="34"/>
      <c r="D42" s="34"/>
      <c r="E42" s="34"/>
      <c r="F42" s="34"/>
      <c r="G42" s="29"/>
    </row>
    <row r="43" spans="1:7" ht="15.75" hidden="1">
      <c r="A43" s="34" t="s">
        <v>56</v>
      </c>
      <c r="B43" s="34"/>
      <c r="C43" s="34"/>
      <c r="D43" s="34"/>
      <c r="E43" s="34"/>
      <c r="F43" s="34"/>
      <c r="G43" s="29"/>
    </row>
    <row r="44" spans="1:7" ht="15.75" hidden="1">
      <c r="A44" s="34" t="s">
        <v>57</v>
      </c>
      <c r="B44" s="34"/>
      <c r="C44" s="34"/>
      <c r="D44" s="34"/>
      <c r="E44" s="34"/>
      <c r="F44" s="34"/>
      <c r="G44" s="29"/>
    </row>
    <row r="45" spans="1:7" ht="15.75">
      <c r="A45" s="34" t="s">
        <v>58</v>
      </c>
      <c r="B45" s="34"/>
      <c r="C45" s="34"/>
      <c r="D45" s="34"/>
      <c r="E45" s="34"/>
      <c r="F45" s="34"/>
      <c r="G45" s="29">
        <v>168</v>
      </c>
    </row>
    <row r="46" spans="1:7" ht="15.75" hidden="1">
      <c r="A46" s="34" t="s">
        <v>59</v>
      </c>
      <c r="B46" s="34"/>
      <c r="C46" s="34"/>
      <c r="D46" s="34"/>
      <c r="E46" s="34"/>
      <c r="F46" s="34"/>
      <c r="G46" s="29"/>
    </row>
    <row r="47" spans="1:7" ht="15.75" hidden="1">
      <c r="A47" s="34" t="s">
        <v>60</v>
      </c>
      <c r="B47" s="34"/>
      <c r="C47" s="34"/>
      <c r="D47" s="34"/>
      <c r="E47" s="34"/>
      <c r="F47" s="34"/>
      <c r="G47" s="29"/>
    </row>
    <row r="48" spans="1:7" ht="15.75" hidden="1">
      <c r="A48" s="34" t="s">
        <v>61</v>
      </c>
      <c r="B48" s="34"/>
      <c r="C48" s="34"/>
      <c r="D48" s="34"/>
      <c r="E48" s="34"/>
      <c r="F48" s="34"/>
      <c r="G48" s="29"/>
    </row>
    <row r="49" spans="1:7" ht="15.75">
      <c r="A49" s="34" t="s">
        <v>62</v>
      </c>
      <c r="B49" s="34"/>
      <c r="C49" s="34"/>
      <c r="D49" s="34"/>
      <c r="E49" s="34"/>
      <c r="F49" s="34"/>
      <c r="G49" s="29">
        <v>2340</v>
      </c>
    </row>
    <row r="50" spans="1:7" ht="15.75">
      <c r="A50" s="34" t="s">
        <v>63</v>
      </c>
      <c r="B50" s="34"/>
      <c r="C50" s="34"/>
      <c r="D50" s="34"/>
      <c r="E50" s="34"/>
      <c r="F50" s="34"/>
      <c r="G50" s="29">
        <v>4020</v>
      </c>
    </row>
    <row r="51" spans="1:7" ht="15.75" hidden="1">
      <c r="A51" s="34" t="s">
        <v>64</v>
      </c>
      <c r="B51" s="34"/>
      <c r="C51" s="34"/>
      <c r="D51" s="34"/>
      <c r="E51" s="34"/>
      <c r="F51" s="34"/>
      <c r="G51" s="29"/>
    </row>
    <row r="52" spans="1:7" ht="15.75" hidden="1">
      <c r="A52" s="34" t="s">
        <v>65</v>
      </c>
      <c r="B52" s="34"/>
      <c r="C52" s="34"/>
      <c r="D52" s="34"/>
      <c r="E52" s="34"/>
      <c r="F52" s="34"/>
      <c r="G52" s="29"/>
    </row>
    <row r="53" spans="1:7" ht="18.75" customHeight="1">
      <c r="A53" s="33" t="s">
        <v>66</v>
      </c>
      <c r="B53" s="33"/>
      <c r="C53" s="33"/>
      <c r="D53" s="33"/>
      <c r="E53" s="33"/>
      <c r="F53" s="33"/>
      <c r="G53" s="32">
        <f>G39+G40+G41+G42+G43+G44+G45+G46+G47+G48+G49+G50+G51+G52</f>
        <v>10478</v>
      </c>
    </row>
    <row r="54" spans="1:7" ht="21" customHeight="1">
      <c r="A54" s="33" t="s">
        <v>67</v>
      </c>
      <c r="B54" s="33"/>
      <c r="C54" s="33"/>
      <c r="D54" s="33"/>
      <c r="E54" s="33"/>
      <c r="F54" s="33"/>
      <c r="G54" s="32">
        <f>G35+G53</f>
        <v>112903.80562016524</v>
      </c>
    </row>
    <row r="55" spans="1:7" ht="15.75" hidden="1">
      <c r="A55" s="28" t="s">
        <v>68</v>
      </c>
      <c r="B55" s="28"/>
      <c r="C55" s="28"/>
      <c r="D55" s="28"/>
      <c r="E55" s="28"/>
      <c r="F55" s="28"/>
      <c r="G55" s="29">
        <v>0</v>
      </c>
    </row>
    <row r="56" spans="1:7" ht="15.75">
      <c r="A56" s="41" t="s">
        <v>69</v>
      </c>
      <c r="B56" s="41"/>
      <c r="C56" s="41"/>
      <c r="D56" s="41"/>
      <c r="E56" s="41"/>
      <c r="F56" s="41"/>
      <c r="G56" s="29">
        <f>141.6*4</f>
        <v>566.4</v>
      </c>
    </row>
    <row r="57" spans="1:7" ht="15.75" customHeight="1">
      <c r="A57" s="42" t="s">
        <v>70</v>
      </c>
      <c r="B57" s="42"/>
      <c r="C57" s="42"/>
      <c r="D57" s="42"/>
      <c r="E57" s="42"/>
      <c r="F57" s="42"/>
      <c r="G57" s="32">
        <f>B3*B5*4+G56</f>
        <v>119244.544</v>
      </c>
    </row>
    <row r="58" spans="1:7" ht="15.75" customHeight="1">
      <c r="A58" s="43" t="s">
        <v>71</v>
      </c>
      <c r="B58" s="43"/>
      <c r="C58" s="43"/>
      <c r="D58" s="43"/>
      <c r="E58" s="43"/>
      <c r="F58" s="43"/>
      <c r="G58" s="44">
        <v>8601.9</v>
      </c>
    </row>
    <row r="59" spans="1:7" ht="62.25" customHeight="1">
      <c r="A59" s="33" t="s">
        <v>80</v>
      </c>
      <c r="B59" s="33"/>
      <c r="C59" s="33"/>
      <c r="D59" s="33"/>
      <c r="E59" s="33"/>
      <c r="F59" s="33"/>
      <c r="G59" s="32">
        <f>G54-G57+G58-G55</f>
        <v>2261.1616201652414</v>
      </c>
    </row>
  </sheetData>
  <sheetProtection selectLockedCells="1" selectUnlockedCells="1"/>
  <mergeCells count="48">
    <mergeCell ref="A1:G1"/>
    <mergeCell ref="B2:E2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printOptions/>
  <pageMargins left="0.19652777777777777" right="0" top="0" bottom="0" header="0.5118055555555555" footer="0.5118055555555555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13"/>
  </sheetPr>
  <dimension ref="A1:G59"/>
  <sheetViews>
    <sheetView zoomScale="75" zoomScaleNormal="75" workbookViewId="0" topLeftCell="A14">
      <pane ySplit="65535" topLeftCell="A14" activePane="topLeft" state="split"/>
      <selection pane="topLeft" activeCell="G58" activeCellId="1" sqref="A77:G138 G58"/>
      <selection pane="bottomLeft" activeCell="A14" sqref="A14"/>
    </sheetView>
  </sheetViews>
  <sheetFormatPr defaultColWidth="9.140625" defaultRowHeight="12.75"/>
  <cols>
    <col min="1" max="1" width="23.8515625" style="1" customWidth="1"/>
    <col min="2" max="2" width="11.57421875" style="1" customWidth="1"/>
    <col min="3" max="5" width="9.140625" style="1" customWidth="1"/>
    <col min="6" max="6" width="21.421875" style="1" customWidth="1"/>
    <col min="7" max="7" width="17.7109375" style="1" customWidth="1"/>
    <col min="8" max="16384" width="9.140625" style="1" customWidth="1"/>
  </cols>
  <sheetData>
    <row r="1" spans="1:7" ht="39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138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4</v>
      </c>
      <c r="B3" s="10">
        <v>2466</v>
      </c>
      <c r="F3" s="8" t="s">
        <v>5</v>
      </c>
      <c r="G3" s="11">
        <v>3</v>
      </c>
    </row>
    <row r="4" spans="1:7" ht="18.75">
      <c r="A4" s="12" t="s">
        <v>6</v>
      </c>
      <c r="B4" s="13"/>
      <c r="F4" s="8" t="s">
        <v>8</v>
      </c>
      <c r="G4" s="9">
        <v>1964</v>
      </c>
    </row>
    <row r="5" spans="1:3" ht="16.5" customHeight="1">
      <c r="A5" s="12" t="s">
        <v>6</v>
      </c>
      <c r="B5" s="13">
        <v>11.3</v>
      </c>
      <c r="C5" s="1" t="s">
        <v>9</v>
      </c>
    </row>
    <row r="6" spans="1:7" ht="18.75" hidden="1">
      <c r="A6" s="14" t="s">
        <v>10</v>
      </c>
      <c r="B6" s="15">
        <v>182.7</v>
      </c>
      <c r="C6" s="16"/>
      <c r="D6" s="16"/>
      <c r="E6" s="16"/>
      <c r="F6" s="16"/>
      <c r="G6" s="16"/>
    </row>
    <row r="7" spans="1:7" ht="18.75" hidden="1">
      <c r="A7" s="14" t="s">
        <v>12</v>
      </c>
      <c r="B7" s="17">
        <v>0</v>
      </c>
      <c r="C7" s="16"/>
      <c r="D7" s="16"/>
      <c r="E7" s="16"/>
      <c r="F7" s="16"/>
      <c r="G7" s="16"/>
    </row>
    <row r="8" spans="1:7" ht="38.25" customHeight="1" hidden="1">
      <c r="A8" s="18" t="s">
        <v>13</v>
      </c>
      <c r="B8" s="19" t="s">
        <v>14</v>
      </c>
      <c r="C8" s="19" t="s">
        <v>15</v>
      </c>
      <c r="D8" s="19" t="s">
        <v>16</v>
      </c>
      <c r="E8" s="19" t="s">
        <v>17</v>
      </c>
      <c r="F8" s="16"/>
      <c r="G8" s="16"/>
    </row>
    <row r="9" spans="1:7" ht="20.25" customHeight="1" hidden="1">
      <c r="A9" s="14"/>
      <c r="B9" s="17">
        <v>666</v>
      </c>
      <c r="C9" s="17">
        <v>2195</v>
      </c>
      <c r="D9" s="17">
        <v>639</v>
      </c>
      <c r="E9" s="17">
        <v>2222</v>
      </c>
      <c r="F9" s="16"/>
      <c r="G9" s="16"/>
    </row>
    <row r="10" spans="1:7" ht="18.75" hidden="1">
      <c r="A10" s="14" t="s">
        <v>18</v>
      </c>
      <c r="B10" s="20">
        <v>0</v>
      </c>
      <c r="C10" s="16"/>
      <c r="D10" s="16"/>
      <c r="E10" s="16"/>
      <c r="F10" s="16"/>
      <c r="G10" s="16"/>
    </row>
    <row r="11" spans="1:7" ht="19.5" hidden="1">
      <c r="A11" s="14" t="s">
        <v>19</v>
      </c>
      <c r="B11" s="20">
        <v>521.9</v>
      </c>
      <c r="C11" s="20">
        <v>493.2</v>
      </c>
      <c r="D11" s="20">
        <f>B11+C11</f>
        <v>1015.0999999999999</v>
      </c>
      <c r="E11" s="16"/>
      <c r="F11" s="16"/>
      <c r="G11" s="16"/>
    </row>
    <row r="12" spans="1:7" ht="50.25" customHeight="1" hidden="1">
      <c r="A12" s="14" t="s">
        <v>20</v>
      </c>
      <c r="B12" s="19" t="s">
        <v>21</v>
      </c>
      <c r="C12" s="21" t="s">
        <v>22</v>
      </c>
      <c r="D12" s="19" t="s">
        <v>23</v>
      </c>
      <c r="E12" s="22" t="s">
        <v>24</v>
      </c>
      <c r="F12" s="17" t="s">
        <v>25</v>
      </c>
      <c r="G12" s="16"/>
    </row>
    <row r="13" spans="1:7" ht="23.25" customHeight="1" hidden="1">
      <c r="A13" s="23"/>
      <c r="B13" s="24">
        <v>60</v>
      </c>
      <c r="C13" s="24">
        <v>60</v>
      </c>
      <c r="D13" s="24"/>
      <c r="E13" s="25">
        <f>D13+C13+B13</f>
        <v>120</v>
      </c>
      <c r="F13" s="17"/>
      <c r="G13" s="16"/>
    </row>
    <row r="14" spans="1:7" ht="18.75" customHeight="1">
      <c r="A14" s="26" t="s">
        <v>26</v>
      </c>
      <c r="B14" s="26"/>
      <c r="C14" s="26"/>
      <c r="D14" s="26"/>
      <c r="E14" s="26"/>
      <c r="F14" s="26"/>
      <c r="G14" s="27" t="s">
        <v>27</v>
      </c>
    </row>
    <row r="15" spans="1:7" ht="15.75">
      <c r="A15" s="28" t="s">
        <v>28</v>
      </c>
      <c r="B15" s="28"/>
      <c r="C15" s="28"/>
      <c r="D15" s="28"/>
      <c r="E15" s="28"/>
      <c r="F15" s="28"/>
      <c r="G15" s="29">
        <f>B6*8.689*4</f>
        <v>6349.9212</v>
      </c>
    </row>
    <row r="16" spans="1:7" ht="15.75" hidden="1">
      <c r="A16" s="28" t="s">
        <v>29</v>
      </c>
      <c r="B16" s="28"/>
      <c r="C16" s="28"/>
      <c r="D16" s="28"/>
      <c r="E16" s="28"/>
      <c r="F16" s="28"/>
      <c r="G16" s="29">
        <f>B7*19.03*12</f>
        <v>0</v>
      </c>
    </row>
    <row r="17" spans="1:7" ht="15.75" hidden="1">
      <c r="A17" s="28" t="s">
        <v>30</v>
      </c>
      <c r="B17" s="28"/>
      <c r="C17" s="28"/>
      <c r="D17" s="28"/>
      <c r="E17" s="28"/>
      <c r="F17" s="28"/>
      <c r="G17" s="29">
        <f>B10*0.4523*12</f>
        <v>0</v>
      </c>
    </row>
    <row r="18" spans="1:7" ht="15.75">
      <c r="A18" s="28" t="s">
        <v>31</v>
      </c>
      <c r="B18" s="28"/>
      <c r="C18" s="28"/>
      <c r="D18" s="28"/>
      <c r="E18" s="28"/>
      <c r="F18" s="28"/>
      <c r="G18" s="29">
        <f>(B9*12.84/100*64)+(C9*9.63/100*38)+(D9*32.11/100*26)+(E9*2.41/100*5)</f>
        <v>19107.811000000005</v>
      </c>
    </row>
    <row r="19" spans="1:7" ht="15.75" customHeight="1">
      <c r="A19" s="30" t="s">
        <v>32</v>
      </c>
      <c r="B19" s="30"/>
      <c r="C19" s="30"/>
      <c r="D19" s="30"/>
      <c r="E19" s="30"/>
      <c r="F19" s="30"/>
      <c r="G19" s="31">
        <f>574906.73/199064.79*B3</f>
        <v>7121.902352394915</v>
      </c>
    </row>
    <row r="20" spans="1:7" ht="15.75">
      <c r="A20" s="28" t="s">
        <v>33</v>
      </c>
      <c r="B20" s="28"/>
      <c r="C20" s="28"/>
      <c r="D20" s="28"/>
      <c r="E20" s="28"/>
      <c r="F20" s="28"/>
      <c r="G20" s="29">
        <f>D11*0.14*2+808.95+652.38</f>
        <v>1745.558</v>
      </c>
    </row>
    <row r="21" spans="1:7" ht="15.75">
      <c r="A21" s="28" t="s">
        <v>34</v>
      </c>
      <c r="B21" s="28"/>
      <c r="C21" s="28"/>
      <c r="D21" s="28"/>
      <c r="E21" s="28"/>
      <c r="F21" s="28"/>
      <c r="G21" s="29">
        <f>95.95+3058.56+989.43+3310.04</f>
        <v>7453.98</v>
      </c>
    </row>
    <row r="22" spans="1:7" ht="15.75">
      <c r="A22" s="28" t="s">
        <v>35</v>
      </c>
      <c r="B22" s="28"/>
      <c r="C22" s="28"/>
      <c r="D22" s="28"/>
      <c r="E22" s="28"/>
      <c r="F22" s="28"/>
      <c r="G22" s="29">
        <f>B3*0.845*4</f>
        <v>8335.08</v>
      </c>
    </row>
    <row r="23" spans="1:7" ht="15.75" hidden="1">
      <c r="A23" s="28" t="s">
        <v>36</v>
      </c>
      <c r="B23" s="28"/>
      <c r="C23" s="28"/>
      <c r="D23" s="28"/>
      <c r="E23" s="28"/>
      <c r="F23" s="28"/>
      <c r="G23" s="29">
        <v>0</v>
      </c>
    </row>
    <row r="24" spans="1:7" ht="15.75" hidden="1">
      <c r="A24" s="28" t="s">
        <v>37</v>
      </c>
      <c r="B24" s="28"/>
      <c r="C24" s="28"/>
      <c r="D24" s="28"/>
      <c r="E24" s="28"/>
      <c r="F24" s="28"/>
      <c r="G24" s="29">
        <v>0</v>
      </c>
    </row>
    <row r="25" spans="1:7" ht="15.75" hidden="1">
      <c r="A25" s="28" t="s">
        <v>38</v>
      </c>
      <c r="B25" s="28"/>
      <c r="C25" s="28"/>
      <c r="D25" s="28"/>
      <c r="E25" s="28"/>
      <c r="F25" s="28"/>
      <c r="G25" s="29">
        <v>0</v>
      </c>
    </row>
    <row r="26" spans="1:7" ht="15.75">
      <c r="A26" s="28" t="s">
        <v>39</v>
      </c>
      <c r="B26" s="28"/>
      <c r="C26" s="28"/>
      <c r="D26" s="28"/>
      <c r="E26" s="28"/>
      <c r="F26" s="28"/>
      <c r="G26" s="29">
        <f>4*352+4*251.46+783.75</f>
        <v>3197.59</v>
      </c>
    </row>
    <row r="27" spans="1:7" ht="15.75" hidden="1">
      <c r="A27" s="28" t="s">
        <v>40</v>
      </c>
      <c r="B27" s="28"/>
      <c r="C27" s="28"/>
      <c r="D27" s="28"/>
      <c r="E27" s="28"/>
      <c r="F27" s="28"/>
      <c r="G27" s="29">
        <v>0</v>
      </c>
    </row>
    <row r="28" spans="1:7" ht="15.75" hidden="1">
      <c r="A28" s="28" t="s">
        <v>41</v>
      </c>
      <c r="B28" s="28"/>
      <c r="C28" s="28"/>
      <c r="D28" s="28"/>
      <c r="E28" s="28"/>
      <c r="F28" s="28"/>
      <c r="G28" s="29">
        <v>0</v>
      </c>
    </row>
    <row r="29" spans="1:7" ht="15.75" hidden="1">
      <c r="A29" s="28" t="s">
        <v>42</v>
      </c>
      <c r="B29" s="28"/>
      <c r="C29" s="28"/>
      <c r="D29" s="28"/>
      <c r="E29" s="28"/>
      <c r="F29" s="28"/>
      <c r="G29" s="29">
        <v>0</v>
      </c>
    </row>
    <row r="30" spans="1:7" ht="15.75">
      <c r="A30" s="28" t="s">
        <v>43</v>
      </c>
      <c r="B30" s="28"/>
      <c r="C30" s="28"/>
      <c r="D30" s="28"/>
      <c r="E30" s="28"/>
      <c r="F30" s="28"/>
      <c r="G30" s="29">
        <f>B3*1.75*4</f>
        <v>17262</v>
      </c>
    </row>
    <row r="31" spans="1:7" ht="15.75" customHeight="1">
      <c r="A31" s="30" t="s">
        <v>44</v>
      </c>
      <c r="B31" s="30"/>
      <c r="C31" s="30"/>
      <c r="D31" s="30"/>
      <c r="E31" s="30"/>
      <c r="F31" s="30"/>
      <c r="G31" s="29">
        <f>(F13*4*8.57)+(B13*2*3.14)+(C13*1*3.14)+(D13*1*3.14)</f>
        <v>565.2</v>
      </c>
    </row>
    <row r="32" spans="1:7" ht="15.75">
      <c r="A32" s="28" t="s">
        <v>45</v>
      </c>
      <c r="B32" s="28"/>
      <c r="C32" s="28"/>
      <c r="D32" s="28"/>
      <c r="E32" s="28"/>
      <c r="F32" s="28"/>
      <c r="G32" s="29">
        <f>B3*0.65*4</f>
        <v>6411.6</v>
      </c>
    </row>
    <row r="33" spans="1:7" ht="15.75">
      <c r="A33" s="28" t="s">
        <v>46</v>
      </c>
      <c r="B33" s="28"/>
      <c r="C33" s="28"/>
      <c r="D33" s="28"/>
      <c r="E33" s="28"/>
      <c r="F33" s="28"/>
      <c r="G33" s="29">
        <f>B3*0.2*4</f>
        <v>1972.8000000000002</v>
      </c>
    </row>
    <row r="34" spans="1:7" ht="15.75">
      <c r="A34" s="28" t="s">
        <v>47</v>
      </c>
      <c r="B34" s="28"/>
      <c r="C34" s="28"/>
      <c r="D34" s="28"/>
      <c r="E34" s="28"/>
      <c r="F34" s="28"/>
      <c r="G34" s="29">
        <f>B3*0.7*4</f>
        <v>6904.799999999999</v>
      </c>
    </row>
    <row r="35" spans="1:7" ht="15.75">
      <c r="A35" s="26" t="s">
        <v>48</v>
      </c>
      <c r="B35" s="26"/>
      <c r="C35" s="26"/>
      <c r="D35" s="26"/>
      <c r="E35" s="26"/>
      <c r="F35" s="26"/>
      <c r="G35" s="32">
        <f>G15+G16+G17+G18+G19+G20+G21+G22+G23+G24+G26+G30+G31+G32+G33+G34+G27+G28+G29+G25</f>
        <v>86428.24255239492</v>
      </c>
    </row>
    <row r="36" spans="1:7" ht="20.25" customHeight="1">
      <c r="A36" s="33" t="s">
        <v>49</v>
      </c>
      <c r="B36" s="33"/>
      <c r="C36" s="33"/>
      <c r="D36" s="33"/>
      <c r="E36" s="33"/>
      <c r="F36" s="33"/>
      <c r="G36" s="29"/>
    </row>
    <row r="37" spans="1:7" ht="15.75" hidden="1">
      <c r="A37" s="28" t="s">
        <v>50</v>
      </c>
      <c r="B37" s="28"/>
      <c r="C37" s="28"/>
      <c r="D37" s="28"/>
      <c r="E37" s="28"/>
      <c r="F37" s="28"/>
      <c r="G37" s="29">
        <f>B3*3.47*12</f>
        <v>102684.24</v>
      </c>
    </row>
    <row r="38" spans="1:7" ht="15.75">
      <c r="A38" s="28" t="s">
        <v>51</v>
      </c>
      <c r="B38" s="28"/>
      <c r="C38" s="28"/>
      <c r="D38" s="28"/>
      <c r="E38" s="28"/>
      <c r="F38" s="28"/>
      <c r="G38" s="29"/>
    </row>
    <row r="39" spans="1:7" ht="15.75" hidden="1">
      <c r="A39" s="34" t="s">
        <v>52</v>
      </c>
      <c r="B39" s="34"/>
      <c r="C39" s="34"/>
      <c r="D39" s="34"/>
      <c r="E39" s="34"/>
      <c r="F39" s="34"/>
      <c r="G39" s="29"/>
    </row>
    <row r="40" spans="1:7" ht="15.75" hidden="1">
      <c r="A40" s="34" t="s">
        <v>53</v>
      </c>
      <c r="B40" s="34"/>
      <c r="C40" s="34"/>
      <c r="D40" s="34"/>
      <c r="E40" s="34"/>
      <c r="F40" s="34"/>
      <c r="G40" s="29"/>
    </row>
    <row r="41" spans="1:7" ht="15.75" hidden="1">
      <c r="A41" s="34" t="s">
        <v>54</v>
      </c>
      <c r="B41" s="34"/>
      <c r="C41" s="34"/>
      <c r="D41" s="34"/>
      <c r="E41" s="34"/>
      <c r="F41" s="34"/>
      <c r="G41" s="29"/>
    </row>
    <row r="42" spans="1:7" ht="15.75" hidden="1">
      <c r="A42" s="34" t="s">
        <v>55</v>
      </c>
      <c r="B42" s="34"/>
      <c r="C42" s="34"/>
      <c r="D42" s="34"/>
      <c r="E42" s="34"/>
      <c r="F42" s="34"/>
      <c r="G42" s="29"/>
    </row>
    <row r="43" spans="1:7" ht="15.75" hidden="1">
      <c r="A43" s="34" t="s">
        <v>56</v>
      </c>
      <c r="B43" s="34"/>
      <c r="C43" s="34"/>
      <c r="D43" s="34"/>
      <c r="E43" s="34"/>
      <c r="F43" s="34"/>
      <c r="G43" s="29"/>
    </row>
    <row r="44" spans="1:7" ht="15.75" hidden="1">
      <c r="A44" s="34" t="s">
        <v>57</v>
      </c>
      <c r="B44" s="34"/>
      <c r="C44" s="34"/>
      <c r="D44" s="34"/>
      <c r="E44" s="34"/>
      <c r="F44" s="34"/>
      <c r="G44" s="29"/>
    </row>
    <row r="45" spans="1:7" ht="15.75">
      <c r="A45" s="34" t="s">
        <v>58</v>
      </c>
      <c r="B45" s="34"/>
      <c r="C45" s="34"/>
      <c r="D45" s="34"/>
      <c r="E45" s="34"/>
      <c r="F45" s="34"/>
      <c r="G45" s="29">
        <v>168</v>
      </c>
    </row>
    <row r="46" spans="1:7" ht="15.75" hidden="1">
      <c r="A46" s="34" t="s">
        <v>59</v>
      </c>
      <c r="B46" s="34"/>
      <c r="C46" s="34"/>
      <c r="D46" s="34"/>
      <c r="E46" s="34"/>
      <c r="F46" s="34"/>
      <c r="G46" s="29"/>
    </row>
    <row r="47" spans="1:7" ht="15.75" hidden="1">
      <c r="A47" s="34" t="s">
        <v>60</v>
      </c>
      <c r="B47" s="34"/>
      <c r="C47" s="34"/>
      <c r="D47" s="34"/>
      <c r="E47" s="34"/>
      <c r="F47" s="34"/>
      <c r="G47" s="29"/>
    </row>
    <row r="48" spans="1:7" ht="15.75" hidden="1">
      <c r="A48" s="34" t="s">
        <v>61</v>
      </c>
      <c r="B48" s="34"/>
      <c r="C48" s="34"/>
      <c r="D48" s="34"/>
      <c r="E48" s="34"/>
      <c r="F48" s="34"/>
      <c r="G48" s="29"/>
    </row>
    <row r="49" spans="1:7" ht="15.75" hidden="1">
      <c r="A49" s="34" t="s">
        <v>62</v>
      </c>
      <c r="B49" s="34"/>
      <c r="C49" s="34"/>
      <c r="D49" s="34"/>
      <c r="E49" s="34"/>
      <c r="F49" s="34"/>
      <c r="G49" s="29"/>
    </row>
    <row r="50" spans="1:7" ht="15.75">
      <c r="A50" s="34" t="s">
        <v>63</v>
      </c>
      <c r="B50" s="34"/>
      <c r="C50" s="34"/>
      <c r="D50" s="34"/>
      <c r="E50" s="34"/>
      <c r="F50" s="34"/>
      <c r="G50" s="29">
        <v>3250</v>
      </c>
    </row>
    <row r="51" spans="1:7" ht="15.75" hidden="1">
      <c r="A51" s="34" t="s">
        <v>64</v>
      </c>
      <c r="B51" s="34"/>
      <c r="C51" s="34"/>
      <c r="D51" s="34"/>
      <c r="E51" s="34"/>
      <c r="F51" s="34"/>
      <c r="G51" s="29"/>
    </row>
    <row r="52" spans="1:7" ht="15.75" hidden="1">
      <c r="A52" s="34" t="s">
        <v>65</v>
      </c>
      <c r="B52" s="34"/>
      <c r="C52" s="34"/>
      <c r="D52" s="34"/>
      <c r="E52" s="34"/>
      <c r="F52" s="34"/>
      <c r="G52" s="29"/>
    </row>
    <row r="53" spans="1:7" ht="15.75" customHeight="1">
      <c r="A53" s="33" t="s">
        <v>66</v>
      </c>
      <c r="B53" s="33"/>
      <c r="C53" s="33"/>
      <c r="D53" s="33"/>
      <c r="E53" s="33"/>
      <c r="F53" s="33"/>
      <c r="G53" s="32">
        <f>G39+G40+G41+G42+G43+G44+G45+G46+G47+G48+G49+G50+G51+G52</f>
        <v>3418</v>
      </c>
    </row>
    <row r="54" spans="1:7" ht="15.75" customHeight="1">
      <c r="A54" s="33" t="s">
        <v>67</v>
      </c>
      <c r="B54" s="33"/>
      <c r="C54" s="33"/>
      <c r="D54" s="33"/>
      <c r="E54" s="33"/>
      <c r="F54" s="33"/>
      <c r="G54" s="32">
        <f>G35+G53</f>
        <v>89846.24255239492</v>
      </c>
    </row>
    <row r="55" spans="1:7" ht="15.75" hidden="1">
      <c r="A55" s="28" t="s">
        <v>68</v>
      </c>
      <c r="B55" s="28"/>
      <c r="C55" s="28"/>
      <c r="D55" s="28"/>
      <c r="E55" s="28"/>
      <c r="F55" s="28"/>
      <c r="G55" s="29">
        <v>0</v>
      </c>
    </row>
    <row r="56" spans="1:7" ht="15.75">
      <c r="A56" s="41" t="s">
        <v>69</v>
      </c>
      <c r="B56" s="41"/>
      <c r="C56" s="41"/>
      <c r="D56" s="41"/>
      <c r="E56" s="41"/>
      <c r="F56" s="41"/>
      <c r="G56" s="29">
        <f>281.58*4+141.6*4+180*4</f>
        <v>2412.72</v>
      </c>
    </row>
    <row r="57" spans="1:7" ht="15.75" customHeight="1">
      <c r="A57" s="42" t="s">
        <v>70</v>
      </c>
      <c r="B57" s="42"/>
      <c r="C57" s="42"/>
      <c r="D57" s="42"/>
      <c r="E57" s="42"/>
      <c r="F57" s="42"/>
      <c r="G57" s="32">
        <f>B3*B5*4+G56</f>
        <v>113875.92000000001</v>
      </c>
    </row>
    <row r="58" spans="1:7" ht="15.75" customHeight="1">
      <c r="A58" s="43" t="s">
        <v>71</v>
      </c>
      <c r="B58" s="43"/>
      <c r="C58" s="43"/>
      <c r="D58" s="43"/>
      <c r="E58" s="43"/>
      <c r="F58" s="43"/>
      <c r="G58" s="44">
        <v>11587.44</v>
      </c>
    </row>
    <row r="59" spans="1:7" ht="66" customHeight="1">
      <c r="A59" s="33" t="s">
        <v>82</v>
      </c>
      <c r="B59" s="33"/>
      <c r="C59" s="33"/>
      <c r="D59" s="33"/>
      <c r="E59" s="33"/>
      <c r="F59" s="33"/>
      <c r="G59" s="32">
        <f>G54-G57-G55+G58</f>
        <v>-12442.237447605092</v>
      </c>
    </row>
  </sheetData>
  <sheetProtection selectLockedCells="1" selectUnlockedCells="1"/>
  <mergeCells count="48">
    <mergeCell ref="A1:G1"/>
    <mergeCell ref="B2:E2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printOptions/>
  <pageMargins left="0.19652777777777777" right="0" top="0" bottom="0" header="0.5118055555555555" footer="0.5118055555555555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13"/>
  </sheetPr>
  <dimension ref="A1:G59"/>
  <sheetViews>
    <sheetView zoomScale="75" zoomScaleNormal="75" workbookViewId="0" topLeftCell="A21">
      <pane ySplit="65535" topLeftCell="A21" activePane="topLeft" state="split"/>
      <selection pane="topLeft" activeCell="G58" activeCellId="1" sqref="A77:G138 G58"/>
      <selection pane="bottomLeft" activeCell="A21" sqref="A21"/>
    </sheetView>
  </sheetViews>
  <sheetFormatPr defaultColWidth="9.140625" defaultRowHeight="12.75"/>
  <cols>
    <col min="1" max="1" width="23.8515625" style="1" customWidth="1"/>
    <col min="2" max="2" width="11.57421875" style="1" customWidth="1"/>
    <col min="3" max="5" width="9.140625" style="1" customWidth="1"/>
    <col min="6" max="6" width="21.421875" style="1" customWidth="1"/>
    <col min="7" max="7" width="17.7109375" style="1" customWidth="1"/>
    <col min="8" max="16384" width="9.140625" style="1" customWidth="1"/>
  </cols>
  <sheetData>
    <row r="1" spans="1:7" ht="39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139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4</v>
      </c>
      <c r="B3" s="10">
        <v>2403.3</v>
      </c>
      <c r="F3" s="8" t="s">
        <v>5</v>
      </c>
      <c r="G3" s="11">
        <v>3</v>
      </c>
    </row>
    <row r="4" spans="1:7" ht="18.75">
      <c r="A4" s="12" t="s">
        <v>6</v>
      </c>
      <c r="B4" s="13"/>
      <c r="F4" s="8" t="s">
        <v>8</v>
      </c>
      <c r="G4" s="9">
        <v>1967</v>
      </c>
    </row>
    <row r="5" spans="1:3" ht="16.5" customHeight="1">
      <c r="A5" s="12" t="s">
        <v>6</v>
      </c>
      <c r="B5" s="13">
        <v>11.3</v>
      </c>
      <c r="C5" s="1" t="s">
        <v>9</v>
      </c>
    </row>
    <row r="6" spans="1:7" ht="18.75" hidden="1">
      <c r="A6" s="14" t="s">
        <v>10</v>
      </c>
      <c r="B6" s="15">
        <v>170.8</v>
      </c>
      <c r="C6" s="16"/>
      <c r="D6" s="16"/>
      <c r="E6" s="16"/>
      <c r="F6" s="16"/>
      <c r="G6" s="16"/>
    </row>
    <row r="7" spans="1:7" ht="18.75" hidden="1">
      <c r="A7" s="14" t="s">
        <v>12</v>
      </c>
      <c r="B7" s="17">
        <v>0</v>
      </c>
      <c r="C7" s="16"/>
      <c r="D7" s="16"/>
      <c r="E7" s="16"/>
      <c r="F7" s="16"/>
      <c r="G7" s="16"/>
    </row>
    <row r="8" spans="1:7" ht="38.25" customHeight="1" hidden="1">
      <c r="A8" s="18" t="s">
        <v>13</v>
      </c>
      <c r="B8" s="19" t="s">
        <v>14</v>
      </c>
      <c r="C8" s="19" t="s">
        <v>15</v>
      </c>
      <c r="D8" s="19" t="s">
        <v>16</v>
      </c>
      <c r="E8" s="19" t="s">
        <v>17</v>
      </c>
      <c r="F8" s="16"/>
      <c r="G8" s="16"/>
    </row>
    <row r="9" spans="1:7" ht="20.25" customHeight="1" hidden="1">
      <c r="A9" s="14"/>
      <c r="B9" s="17">
        <v>949</v>
      </c>
      <c r="C9" s="17">
        <v>819</v>
      </c>
      <c r="D9" s="17">
        <v>309</v>
      </c>
      <c r="E9" s="17">
        <v>1459</v>
      </c>
      <c r="F9" s="16"/>
      <c r="G9" s="16"/>
    </row>
    <row r="10" spans="1:7" ht="18.75" hidden="1">
      <c r="A10" s="14" t="s">
        <v>18</v>
      </c>
      <c r="B10" s="20">
        <v>0</v>
      </c>
      <c r="C10" s="16"/>
      <c r="D10" s="16"/>
      <c r="E10" s="16"/>
      <c r="F10" s="16"/>
      <c r="G10" s="16"/>
    </row>
    <row r="11" spans="1:7" ht="19.5" hidden="1">
      <c r="A11" s="14" t="s">
        <v>19</v>
      </c>
      <c r="B11" s="20">
        <v>703.7</v>
      </c>
      <c r="C11" s="20">
        <v>486.7</v>
      </c>
      <c r="D11" s="20">
        <f>B11+C11</f>
        <v>1190.4</v>
      </c>
      <c r="E11" s="16"/>
      <c r="F11" s="16"/>
      <c r="G11" s="16"/>
    </row>
    <row r="12" spans="1:7" ht="50.25" customHeight="1" hidden="1">
      <c r="A12" s="14" t="s">
        <v>20</v>
      </c>
      <c r="B12" s="19" t="s">
        <v>21</v>
      </c>
      <c r="C12" s="21" t="s">
        <v>22</v>
      </c>
      <c r="D12" s="19" t="s">
        <v>23</v>
      </c>
      <c r="E12" s="22" t="s">
        <v>24</v>
      </c>
      <c r="F12" s="17" t="s">
        <v>25</v>
      </c>
      <c r="G12" s="16"/>
    </row>
    <row r="13" spans="1:7" ht="23.25" customHeight="1" hidden="1">
      <c r="A13" s="23"/>
      <c r="B13" s="24">
        <v>58</v>
      </c>
      <c r="C13" s="24">
        <v>58</v>
      </c>
      <c r="D13" s="24"/>
      <c r="E13" s="25">
        <f>D13+C13+B13</f>
        <v>116</v>
      </c>
      <c r="F13" s="17"/>
      <c r="G13" s="16"/>
    </row>
    <row r="14" spans="1:7" ht="18.75" customHeight="1">
      <c r="A14" s="26" t="s">
        <v>26</v>
      </c>
      <c r="B14" s="26"/>
      <c r="C14" s="26"/>
      <c r="D14" s="26"/>
      <c r="E14" s="26"/>
      <c r="F14" s="26"/>
      <c r="G14" s="27" t="s">
        <v>27</v>
      </c>
    </row>
    <row r="15" spans="1:7" ht="15.75">
      <c r="A15" s="28" t="s">
        <v>28</v>
      </c>
      <c r="B15" s="28"/>
      <c r="C15" s="28"/>
      <c r="D15" s="28"/>
      <c r="E15" s="28"/>
      <c r="F15" s="28"/>
      <c r="G15" s="29">
        <f>B6*8.689*4</f>
        <v>5936.3248</v>
      </c>
    </row>
    <row r="16" spans="1:7" ht="15.75" hidden="1">
      <c r="A16" s="28" t="s">
        <v>29</v>
      </c>
      <c r="B16" s="28"/>
      <c r="C16" s="28"/>
      <c r="D16" s="28"/>
      <c r="E16" s="28"/>
      <c r="F16" s="28"/>
      <c r="G16" s="29">
        <f>B7*19.03*12</f>
        <v>0</v>
      </c>
    </row>
    <row r="17" spans="1:7" ht="15.75" hidden="1">
      <c r="A17" s="28" t="s">
        <v>30</v>
      </c>
      <c r="B17" s="28"/>
      <c r="C17" s="28"/>
      <c r="D17" s="28"/>
      <c r="E17" s="28"/>
      <c r="F17" s="28"/>
      <c r="G17" s="29">
        <f>B10*0.4523*12</f>
        <v>0</v>
      </c>
    </row>
    <row r="18" spans="1:7" ht="15.75">
      <c r="A18" s="28" t="s">
        <v>31</v>
      </c>
      <c r="B18" s="28"/>
      <c r="C18" s="28"/>
      <c r="D18" s="28"/>
      <c r="E18" s="28"/>
      <c r="F18" s="28"/>
      <c r="G18" s="29">
        <f>(B9*12.84/100*64)+(C9*9.63/100*38)+(D9*32.11/100*26)+(E9*2.41/100*5)</f>
        <v>13551.0779</v>
      </c>
    </row>
    <row r="19" spans="1:7" ht="15.75" customHeight="1">
      <c r="A19" s="30" t="s">
        <v>32</v>
      </c>
      <c r="B19" s="30"/>
      <c r="C19" s="30"/>
      <c r="D19" s="30"/>
      <c r="E19" s="30"/>
      <c r="F19" s="30"/>
      <c r="G19" s="31">
        <f>574906.73/199064.79*B3</f>
        <v>6940.8223534106655</v>
      </c>
    </row>
    <row r="20" spans="1:7" ht="15.75">
      <c r="A20" s="28" t="s">
        <v>33</v>
      </c>
      <c r="B20" s="28"/>
      <c r="C20" s="28"/>
      <c r="D20" s="28"/>
      <c r="E20" s="28"/>
      <c r="F20" s="28"/>
      <c r="G20" s="29">
        <f>D11*0.14*2</f>
        <v>333.31200000000007</v>
      </c>
    </row>
    <row r="21" spans="1:7" ht="15.75">
      <c r="A21" s="28" t="s">
        <v>34</v>
      </c>
      <c r="B21" s="28"/>
      <c r="C21" s="28"/>
      <c r="D21" s="28"/>
      <c r="E21" s="28"/>
      <c r="F21" s="28"/>
      <c r="G21" s="29">
        <f>95.95+2956.61+989.43+3310.04</f>
        <v>7352.03</v>
      </c>
    </row>
    <row r="22" spans="1:7" ht="15.75">
      <c r="A22" s="28" t="s">
        <v>35</v>
      </c>
      <c r="B22" s="28"/>
      <c r="C22" s="28"/>
      <c r="D22" s="28"/>
      <c r="E22" s="28"/>
      <c r="F22" s="28"/>
      <c r="G22" s="29">
        <f>B3*0.845*4</f>
        <v>8123.154</v>
      </c>
    </row>
    <row r="23" spans="1:7" ht="15.75" hidden="1">
      <c r="A23" s="28" t="s">
        <v>36</v>
      </c>
      <c r="B23" s="28"/>
      <c r="C23" s="28"/>
      <c r="D23" s="28"/>
      <c r="E23" s="28"/>
      <c r="F23" s="28"/>
      <c r="G23" s="29">
        <v>0</v>
      </c>
    </row>
    <row r="24" spans="1:7" ht="15.75" hidden="1">
      <c r="A24" s="28" t="s">
        <v>37</v>
      </c>
      <c r="B24" s="28"/>
      <c r="C24" s="28"/>
      <c r="D24" s="28"/>
      <c r="E24" s="28"/>
      <c r="F24" s="28"/>
      <c r="G24" s="29">
        <v>0</v>
      </c>
    </row>
    <row r="25" spans="1:7" ht="15.75" hidden="1">
      <c r="A25" s="28" t="s">
        <v>38</v>
      </c>
      <c r="B25" s="28"/>
      <c r="C25" s="28"/>
      <c r="D25" s="28"/>
      <c r="E25" s="28"/>
      <c r="F25" s="28"/>
      <c r="G25" s="29">
        <v>0</v>
      </c>
    </row>
    <row r="26" spans="1:7" ht="15.75">
      <c r="A26" s="28" t="s">
        <v>39</v>
      </c>
      <c r="B26" s="28"/>
      <c r="C26" s="28"/>
      <c r="D26" s="28"/>
      <c r="E26" s="28"/>
      <c r="F26" s="28"/>
      <c r="G26" s="29">
        <f>4*352+3*251.46</f>
        <v>2162.38</v>
      </c>
    </row>
    <row r="27" spans="1:7" ht="15.75" hidden="1">
      <c r="A27" s="28" t="s">
        <v>40</v>
      </c>
      <c r="B27" s="28"/>
      <c r="C27" s="28"/>
      <c r="D27" s="28"/>
      <c r="E27" s="28"/>
      <c r="F27" s="28"/>
      <c r="G27" s="29">
        <v>0</v>
      </c>
    </row>
    <row r="28" spans="1:7" ht="15.75" hidden="1">
      <c r="A28" s="28" t="s">
        <v>41</v>
      </c>
      <c r="B28" s="28"/>
      <c r="C28" s="28"/>
      <c r="D28" s="28"/>
      <c r="E28" s="28"/>
      <c r="F28" s="28"/>
      <c r="G28" s="29">
        <v>0</v>
      </c>
    </row>
    <row r="29" spans="1:7" ht="15.75" hidden="1">
      <c r="A29" s="28" t="s">
        <v>42</v>
      </c>
      <c r="B29" s="28"/>
      <c r="C29" s="28"/>
      <c r="D29" s="28"/>
      <c r="E29" s="28"/>
      <c r="F29" s="28"/>
      <c r="G29" s="29">
        <v>0</v>
      </c>
    </row>
    <row r="30" spans="1:7" ht="15.75">
      <c r="A30" s="28" t="s">
        <v>43</v>
      </c>
      <c r="B30" s="28"/>
      <c r="C30" s="28"/>
      <c r="D30" s="28"/>
      <c r="E30" s="28"/>
      <c r="F30" s="28"/>
      <c r="G30" s="29">
        <f>B3*1.75*4</f>
        <v>16823.100000000002</v>
      </c>
    </row>
    <row r="31" spans="1:7" ht="15.75" customHeight="1">
      <c r="A31" s="30" t="s">
        <v>44</v>
      </c>
      <c r="B31" s="30"/>
      <c r="C31" s="30"/>
      <c r="D31" s="30"/>
      <c r="E31" s="30"/>
      <c r="F31" s="30"/>
      <c r="G31" s="29">
        <f>(F13*4*8.57)+(B13*2*3.14)+(C13*1*3.14)+(D13*1*3.14)</f>
        <v>546.36</v>
      </c>
    </row>
    <row r="32" spans="1:7" ht="15.75">
      <c r="A32" s="28" t="s">
        <v>45</v>
      </c>
      <c r="B32" s="28"/>
      <c r="C32" s="28"/>
      <c r="D32" s="28"/>
      <c r="E32" s="28"/>
      <c r="F32" s="28"/>
      <c r="G32" s="29">
        <f>B3*0.65*4</f>
        <v>6248.580000000001</v>
      </c>
    </row>
    <row r="33" spans="1:7" ht="15.75">
      <c r="A33" s="28" t="s">
        <v>46</v>
      </c>
      <c r="B33" s="28"/>
      <c r="C33" s="28"/>
      <c r="D33" s="28"/>
      <c r="E33" s="28"/>
      <c r="F33" s="28"/>
      <c r="G33" s="29">
        <f>B3*0.2*4</f>
        <v>1922.6400000000003</v>
      </c>
    </row>
    <row r="34" spans="1:7" ht="15.75">
      <c r="A34" s="28" t="s">
        <v>47</v>
      </c>
      <c r="B34" s="28"/>
      <c r="C34" s="28"/>
      <c r="D34" s="28"/>
      <c r="E34" s="28"/>
      <c r="F34" s="28"/>
      <c r="G34" s="29">
        <f>B3*0.7*4</f>
        <v>6729.24</v>
      </c>
    </row>
    <row r="35" spans="1:7" ht="15.75">
      <c r="A35" s="26" t="s">
        <v>48</v>
      </c>
      <c r="B35" s="26"/>
      <c r="C35" s="26"/>
      <c r="D35" s="26"/>
      <c r="E35" s="26"/>
      <c r="F35" s="26"/>
      <c r="G35" s="32">
        <f>G15+G16+G17+G18+G19+G20+G21+G22+G23+G24+G26+G30+G31+G32+G33+G34+G27+G28+G29+G25</f>
        <v>76669.02105341067</v>
      </c>
    </row>
    <row r="36" spans="1:7" ht="20.25" customHeight="1">
      <c r="A36" s="33" t="s">
        <v>49</v>
      </c>
      <c r="B36" s="33"/>
      <c r="C36" s="33"/>
      <c r="D36" s="33"/>
      <c r="E36" s="33"/>
      <c r="F36" s="33"/>
      <c r="G36" s="29"/>
    </row>
    <row r="37" spans="1:7" ht="15.75" hidden="1">
      <c r="A37" s="28" t="s">
        <v>50</v>
      </c>
      <c r="B37" s="28"/>
      <c r="C37" s="28"/>
      <c r="D37" s="28"/>
      <c r="E37" s="28"/>
      <c r="F37" s="28"/>
      <c r="G37" s="29">
        <f>B3*3.47*12</f>
        <v>100073.41200000001</v>
      </c>
    </row>
    <row r="38" spans="1:7" ht="15.75">
      <c r="A38" s="28" t="s">
        <v>51</v>
      </c>
      <c r="B38" s="28"/>
      <c r="C38" s="28"/>
      <c r="D38" s="28"/>
      <c r="E38" s="28"/>
      <c r="F38" s="28"/>
      <c r="G38" s="29"/>
    </row>
    <row r="39" spans="1:7" ht="15.75" hidden="1">
      <c r="A39" s="34" t="s">
        <v>52</v>
      </c>
      <c r="B39" s="34"/>
      <c r="C39" s="34"/>
      <c r="D39" s="34"/>
      <c r="E39" s="34"/>
      <c r="F39" s="34"/>
      <c r="G39" s="29"/>
    </row>
    <row r="40" spans="1:7" ht="15.75" hidden="1">
      <c r="A40" s="34" t="s">
        <v>53</v>
      </c>
      <c r="B40" s="34"/>
      <c r="C40" s="34"/>
      <c r="D40" s="34"/>
      <c r="E40" s="34"/>
      <c r="F40" s="34"/>
      <c r="G40" s="29"/>
    </row>
    <row r="41" spans="1:7" ht="15.75" hidden="1">
      <c r="A41" s="34" t="s">
        <v>54</v>
      </c>
      <c r="B41" s="34"/>
      <c r="C41" s="34"/>
      <c r="D41" s="34"/>
      <c r="E41" s="34"/>
      <c r="F41" s="34"/>
      <c r="G41" s="29"/>
    </row>
    <row r="42" spans="1:7" ht="15.75" hidden="1">
      <c r="A42" s="34" t="s">
        <v>55</v>
      </c>
      <c r="B42" s="34"/>
      <c r="C42" s="34"/>
      <c r="D42" s="34"/>
      <c r="E42" s="34"/>
      <c r="F42" s="34"/>
      <c r="G42" s="29"/>
    </row>
    <row r="43" spans="1:7" ht="15.75" hidden="1">
      <c r="A43" s="34" t="s">
        <v>56</v>
      </c>
      <c r="B43" s="34"/>
      <c r="C43" s="34"/>
      <c r="D43" s="34"/>
      <c r="E43" s="34"/>
      <c r="F43" s="34"/>
      <c r="G43" s="29"/>
    </row>
    <row r="44" spans="1:7" ht="15.75" hidden="1">
      <c r="A44" s="34" t="s">
        <v>57</v>
      </c>
      <c r="B44" s="34"/>
      <c r="C44" s="34"/>
      <c r="D44" s="34"/>
      <c r="E44" s="34"/>
      <c r="F44" s="34"/>
      <c r="G44" s="29"/>
    </row>
    <row r="45" spans="1:7" ht="15.75">
      <c r="A45" s="34" t="s">
        <v>58</v>
      </c>
      <c r="B45" s="34"/>
      <c r="C45" s="34"/>
      <c r="D45" s="34"/>
      <c r="E45" s="34"/>
      <c r="F45" s="34"/>
      <c r="G45" s="29">
        <v>168</v>
      </c>
    </row>
    <row r="46" spans="1:7" ht="15.75" hidden="1">
      <c r="A46" s="34" t="s">
        <v>59</v>
      </c>
      <c r="B46" s="34"/>
      <c r="C46" s="34"/>
      <c r="D46" s="34"/>
      <c r="E46" s="34"/>
      <c r="F46" s="34"/>
      <c r="G46" s="29"/>
    </row>
    <row r="47" spans="1:7" ht="15.75" hidden="1">
      <c r="A47" s="34" t="s">
        <v>60</v>
      </c>
      <c r="B47" s="34"/>
      <c r="C47" s="34"/>
      <c r="D47" s="34"/>
      <c r="E47" s="34"/>
      <c r="F47" s="34"/>
      <c r="G47" s="29"/>
    </row>
    <row r="48" spans="1:7" ht="15.75" hidden="1">
      <c r="A48" s="34" t="s">
        <v>61</v>
      </c>
      <c r="B48" s="34"/>
      <c r="C48" s="34"/>
      <c r="D48" s="34"/>
      <c r="E48" s="34"/>
      <c r="F48" s="34"/>
      <c r="G48" s="29"/>
    </row>
    <row r="49" spans="1:7" ht="15.75" hidden="1">
      <c r="A49" s="34" t="s">
        <v>62</v>
      </c>
      <c r="B49" s="34"/>
      <c r="C49" s="34"/>
      <c r="D49" s="34"/>
      <c r="E49" s="34"/>
      <c r="F49" s="34"/>
      <c r="G49" s="29"/>
    </row>
    <row r="50" spans="1:7" ht="15.75">
      <c r="A50" s="34" t="s">
        <v>63</v>
      </c>
      <c r="B50" s="34"/>
      <c r="C50" s="34"/>
      <c r="D50" s="34"/>
      <c r="E50" s="34"/>
      <c r="F50" s="34"/>
      <c r="G50" s="29">
        <v>3270</v>
      </c>
    </row>
    <row r="51" spans="1:7" ht="15.75" hidden="1">
      <c r="A51" s="34" t="s">
        <v>64</v>
      </c>
      <c r="B51" s="34"/>
      <c r="C51" s="34"/>
      <c r="D51" s="34"/>
      <c r="E51" s="34"/>
      <c r="F51" s="34"/>
      <c r="G51" s="29"/>
    </row>
    <row r="52" spans="1:7" ht="15.75" hidden="1">
      <c r="A52" s="34" t="s">
        <v>65</v>
      </c>
      <c r="B52" s="34"/>
      <c r="C52" s="34"/>
      <c r="D52" s="34"/>
      <c r="E52" s="34"/>
      <c r="F52" s="34"/>
      <c r="G52" s="29"/>
    </row>
    <row r="53" spans="1:7" ht="15.75" customHeight="1">
      <c r="A53" s="33" t="s">
        <v>66</v>
      </c>
      <c r="B53" s="33"/>
      <c r="C53" s="33"/>
      <c r="D53" s="33"/>
      <c r="E53" s="33"/>
      <c r="F53" s="33"/>
      <c r="G53" s="32">
        <f>G39+G40+G41+G42+G43+G44+G45+G46+G47+G48+G49+G50+G51+G52</f>
        <v>3438</v>
      </c>
    </row>
    <row r="54" spans="1:7" ht="15.75" customHeight="1">
      <c r="A54" s="33" t="s">
        <v>67</v>
      </c>
      <c r="B54" s="33"/>
      <c r="C54" s="33"/>
      <c r="D54" s="33"/>
      <c r="E54" s="33"/>
      <c r="F54" s="33"/>
      <c r="G54" s="32">
        <f>G35+G53</f>
        <v>80107.02105341067</v>
      </c>
    </row>
    <row r="55" spans="1:7" ht="15.75">
      <c r="A55" s="28" t="s">
        <v>68</v>
      </c>
      <c r="B55" s="28"/>
      <c r="C55" s="28"/>
      <c r="D55" s="28"/>
      <c r="E55" s="28"/>
      <c r="F55" s="28"/>
      <c r="G55" s="29">
        <v>-6997.78</v>
      </c>
    </row>
    <row r="56" spans="1:7" ht="15.75">
      <c r="A56" s="41" t="s">
        <v>69</v>
      </c>
      <c r="B56" s="41"/>
      <c r="C56" s="41"/>
      <c r="D56" s="41"/>
      <c r="E56" s="41"/>
      <c r="F56" s="41"/>
      <c r="G56" s="29">
        <f>141.6*4+180*4</f>
        <v>1286.4</v>
      </c>
    </row>
    <row r="57" spans="1:7" ht="15.75" customHeight="1">
      <c r="A57" s="42" t="s">
        <v>70</v>
      </c>
      <c r="B57" s="42"/>
      <c r="C57" s="42"/>
      <c r="D57" s="42"/>
      <c r="E57" s="42"/>
      <c r="F57" s="42"/>
      <c r="G57" s="32">
        <f>B3*B5*4+G56</f>
        <v>109915.56000000001</v>
      </c>
    </row>
    <row r="58" spans="1:7" ht="15.75" customHeight="1">
      <c r="A58" s="43" t="s">
        <v>71</v>
      </c>
      <c r="B58" s="43"/>
      <c r="C58" s="43"/>
      <c r="D58" s="43"/>
      <c r="E58" s="43"/>
      <c r="F58" s="43"/>
      <c r="G58" s="44">
        <v>11413.7</v>
      </c>
    </row>
    <row r="59" spans="1:7" ht="64.5" customHeight="1">
      <c r="A59" s="33" t="s">
        <v>82</v>
      </c>
      <c r="B59" s="33"/>
      <c r="C59" s="33"/>
      <c r="D59" s="33"/>
      <c r="E59" s="33"/>
      <c r="F59" s="33"/>
      <c r="G59" s="32">
        <f>G54-G57-G55+G58</f>
        <v>-11397.058946589339</v>
      </c>
    </row>
  </sheetData>
  <sheetProtection selectLockedCells="1" selectUnlockedCells="1"/>
  <mergeCells count="48">
    <mergeCell ref="A1:G1"/>
    <mergeCell ref="B2:E2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printOptions/>
  <pageMargins left="0.19652777777777777" right="0" top="0" bottom="0" header="0.5118055555555555" footer="0.5118055555555555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0"/>
  </sheetPr>
  <dimension ref="A1:G59"/>
  <sheetViews>
    <sheetView zoomScale="75" zoomScaleNormal="75" workbookViewId="0" topLeftCell="A21">
      <pane ySplit="65535" topLeftCell="A21" activePane="topLeft" state="split"/>
      <selection pane="topLeft" activeCell="G58" activeCellId="1" sqref="A77:G138 G58"/>
      <selection pane="bottomLeft" activeCell="A21" sqref="A21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4.421875" style="1" customWidth="1"/>
    <col min="8" max="16384" width="9.140625" style="1" customWidth="1"/>
  </cols>
  <sheetData>
    <row r="1" spans="1:7" ht="40.5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73</v>
      </c>
      <c r="B2" s="7" t="s">
        <v>140</v>
      </c>
      <c r="C2" s="7"/>
      <c r="D2" s="7"/>
      <c r="E2" s="7"/>
      <c r="F2" s="8" t="s">
        <v>3</v>
      </c>
      <c r="G2" s="9">
        <v>9</v>
      </c>
    </row>
    <row r="3" spans="1:7" ht="18.75">
      <c r="A3" s="6" t="s">
        <v>75</v>
      </c>
      <c r="B3" s="10">
        <v>1990.4</v>
      </c>
      <c r="F3" s="8" t="s">
        <v>5</v>
      </c>
      <c r="G3" s="11">
        <v>1</v>
      </c>
    </row>
    <row r="4" spans="1:7" ht="18.75">
      <c r="A4" s="12" t="s">
        <v>76</v>
      </c>
      <c r="B4" s="13"/>
      <c r="F4" s="8" t="s">
        <v>8</v>
      </c>
      <c r="G4" s="9">
        <v>1971</v>
      </c>
    </row>
    <row r="5" spans="1:3" ht="16.5" customHeight="1">
      <c r="A5" s="12" t="s">
        <v>76</v>
      </c>
      <c r="B5" s="13">
        <v>12.11</v>
      </c>
      <c r="C5" s="1" t="s">
        <v>9</v>
      </c>
    </row>
    <row r="6" spans="1:7" ht="18.75" hidden="1">
      <c r="A6" s="14" t="s">
        <v>10</v>
      </c>
      <c r="B6" s="15">
        <v>243.28</v>
      </c>
      <c r="C6" s="16"/>
      <c r="D6" s="16"/>
      <c r="E6" s="16"/>
      <c r="F6" s="16"/>
      <c r="G6" s="16"/>
    </row>
    <row r="7" spans="1:7" ht="18.75" hidden="1">
      <c r="A7" s="14" t="s">
        <v>12</v>
      </c>
      <c r="B7" s="17">
        <v>0.9</v>
      </c>
      <c r="C7" s="16" t="s">
        <v>78</v>
      </c>
      <c r="D7" s="16">
        <v>1</v>
      </c>
      <c r="E7" s="16"/>
      <c r="F7" s="16"/>
      <c r="G7" s="16"/>
    </row>
    <row r="8" spans="1:7" ht="38.25" customHeight="1" hidden="1">
      <c r="A8" s="18" t="s">
        <v>13</v>
      </c>
      <c r="B8" s="19" t="s">
        <v>14</v>
      </c>
      <c r="C8" s="19" t="s">
        <v>15</v>
      </c>
      <c r="D8" s="19" t="s">
        <v>16</v>
      </c>
      <c r="E8" s="19" t="s">
        <v>17</v>
      </c>
      <c r="F8" s="16"/>
      <c r="G8" s="16"/>
    </row>
    <row r="9" spans="1:7" ht="20.25" customHeight="1" hidden="1">
      <c r="A9" s="14"/>
      <c r="B9" s="17">
        <v>464</v>
      </c>
      <c r="C9" s="17">
        <v>0</v>
      </c>
      <c r="D9" s="17">
        <v>464</v>
      </c>
      <c r="E9" s="17">
        <v>0</v>
      </c>
      <c r="F9" s="16"/>
      <c r="G9" s="16"/>
    </row>
    <row r="10" spans="1:7" ht="18.75" hidden="1">
      <c r="A10" s="14" t="s">
        <v>18</v>
      </c>
      <c r="B10" s="20">
        <v>1990.4</v>
      </c>
      <c r="C10" s="16" t="s">
        <v>141</v>
      </c>
      <c r="D10" s="16"/>
      <c r="E10" s="16"/>
      <c r="F10" s="16"/>
      <c r="G10" s="16"/>
    </row>
    <row r="11" spans="1:7" ht="19.5" hidden="1">
      <c r="A11" s="14" t="s">
        <v>19</v>
      </c>
      <c r="B11" s="20">
        <v>400</v>
      </c>
      <c r="C11" s="20">
        <v>221.2</v>
      </c>
      <c r="D11" s="20">
        <f>B11+C11</f>
        <v>621.2</v>
      </c>
      <c r="E11" s="16"/>
      <c r="F11" s="16"/>
      <c r="G11" s="16"/>
    </row>
    <row r="12" spans="1:7" ht="50.25" customHeight="1" hidden="1">
      <c r="A12" s="14" t="s">
        <v>20</v>
      </c>
      <c r="B12" s="19" t="s">
        <v>21</v>
      </c>
      <c r="C12" s="21" t="s">
        <v>22</v>
      </c>
      <c r="D12" s="19" t="s">
        <v>23</v>
      </c>
      <c r="E12" s="22" t="s">
        <v>24</v>
      </c>
      <c r="F12" s="17" t="s">
        <v>25</v>
      </c>
      <c r="G12" s="16"/>
    </row>
    <row r="13" spans="1:7" ht="23.25" customHeight="1" hidden="1">
      <c r="A13" s="23"/>
      <c r="B13" s="24">
        <v>48</v>
      </c>
      <c r="C13" s="24">
        <v>48</v>
      </c>
      <c r="D13" s="24"/>
      <c r="E13" s="25">
        <f>D13+C13+B13</f>
        <v>96</v>
      </c>
      <c r="F13" s="17"/>
      <c r="G13" s="16"/>
    </row>
    <row r="14" spans="1:7" ht="18.75" customHeight="1">
      <c r="A14" s="26" t="s">
        <v>26</v>
      </c>
      <c r="B14" s="26"/>
      <c r="C14" s="26"/>
      <c r="D14" s="26"/>
      <c r="E14" s="26"/>
      <c r="F14" s="26"/>
      <c r="G14" s="27" t="s">
        <v>27</v>
      </c>
    </row>
    <row r="15" spans="1:7" ht="15.75">
      <c r="A15" s="28" t="s">
        <v>28</v>
      </c>
      <c r="B15" s="28"/>
      <c r="C15" s="28"/>
      <c r="D15" s="28"/>
      <c r="E15" s="28"/>
      <c r="F15" s="28"/>
      <c r="G15" s="29">
        <f>B6*7.012*4</f>
        <v>6823.51744</v>
      </c>
    </row>
    <row r="16" spans="1:7" ht="15.75">
      <c r="A16" s="28" t="s">
        <v>29</v>
      </c>
      <c r="B16" s="28"/>
      <c r="C16" s="28"/>
      <c r="D16" s="28"/>
      <c r="E16" s="28"/>
      <c r="F16" s="28"/>
      <c r="G16" s="29">
        <f>B7*35.705*4</f>
        <v>128.538</v>
      </c>
    </row>
    <row r="17" spans="1:7" ht="15.75" hidden="1">
      <c r="A17" s="28" t="s">
        <v>30</v>
      </c>
      <c r="B17" s="28"/>
      <c r="C17" s="28"/>
      <c r="D17" s="28"/>
      <c r="E17" s="28"/>
      <c r="F17" s="28"/>
      <c r="G17" s="29">
        <v>0</v>
      </c>
    </row>
    <row r="18" spans="1:7" ht="15.75">
      <c r="A18" s="28" t="s">
        <v>31</v>
      </c>
      <c r="B18" s="28"/>
      <c r="C18" s="28"/>
      <c r="D18" s="28"/>
      <c r="E18" s="28"/>
      <c r="F18" s="28"/>
      <c r="G18" s="29">
        <f>(B9*9.46/100*64)+(C9*7.09/100*38)+(D9*23.66/100*26)+(E9*1.77/100*5)</f>
        <v>5663.584000000001</v>
      </c>
    </row>
    <row r="19" spans="1:7" ht="15.75" customHeight="1">
      <c r="A19" s="30" t="s">
        <v>32</v>
      </c>
      <c r="B19" s="30"/>
      <c r="C19" s="30"/>
      <c r="D19" s="30"/>
      <c r="E19" s="30"/>
      <c r="F19" s="30"/>
      <c r="G19" s="31">
        <f>574906.73/199064.79*B3</f>
        <v>5748.351355315021</v>
      </c>
    </row>
    <row r="20" spans="1:7" ht="15.75">
      <c r="A20" s="28" t="s">
        <v>33</v>
      </c>
      <c r="B20" s="28"/>
      <c r="C20" s="28"/>
      <c r="D20" s="28"/>
      <c r="E20" s="28"/>
      <c r="F20" s="28"/>
      <c r="G20" s="29">
        <f>D11*0.14*2+620+500</f>
        <v>1293.9360000000001</v>
      </c>
    </row>
    <row r="21" spans="1:7" ht="15.75">
      <c r="A21" s="28" t="s">
        <v>34</v>
      </c>
      <c r="B21" s="28"/>
      <c r="C21" s="28"/>
      <c r="D21" s="28"/>
      <c r="E21" s="28"/>
      <c r="F21" s="28"/>
      <c r="G21" s="29">
        <f>95.95+2446.85+395.77+89.95+2266.73</f>
        <v>5295.25</v>
      </c>
    </row>
    <row r="22" spans="1:7" ht="15.75">
      <c r="A22" s="28" t="s">
        <v>35</v>
      </c>
      <c r="B22" s="28"/>
      <c r="C22" s="28"/>
      <c r="D22" s="28"/>
      <c r="E22" s="28"/>
      <c r="F22" s="28"/>
      <c r="G22" s="29">
        <f>B3*0.845*4</f>
        <v>6727.552</v>
      </c>
    </row>
    <row r="23" spans="1:7" ht="15.75">
      <c r="A23" s="28" t="s">
        <v>36</v>
      </c>
      <c r="B23" s="28"/>
      <c r="C23" s="28"/>
      <c r="D23" s="28"/>
      <c r="E23" s="28"/>
      <c r="F23" s="28"/>
      <c r="G23" s="29">
        <f>B3*2.648*4</f>
        <v>21082.3168</v>
      </c>
    </row>
    <row r="24" spans="1:7" ht="15.75">
      <c r="A24" s="28" t="s">
        <v>37</v>
      </c>
      <c r="B24" s="28"/>
      <c r="C24" s="28"/>
      <c r="D24" s="28"/>
      <c r="E24" s="28"/>
      <c r="F24" s="28"/>
      <c r="G24" s="29">
        <f>2201</f>
        <v>2201</v>
      </c>
    </row>
    <row r="25" spans="1:7" ht="15.75">
      <c r="A25" s="28" t="s">
        <v>38</v>
      </c>
      <c r="B25" s="28"/>
      <c r="C25" s="28"/>
      <c r="D25" s="28"/>
      <c r="E25" s="28"/>
      <c r="F25" s="28"/>
      <c r="G25" s="29">
        <f>403*4</f>
        <v>1612</v>
      </c>
    </row>
    <row r="26" spans="1:7" ht="15.75">
      <c r="A26" s="28" t="s">
        <v>39</v>
      </c>
      <c r="B26" s="28"/>
      <c r="C26" s="28"/>
      <c r="D26" s="28"/>
      <c r="E26" s="28"/>
      <c r="F26" s="28"/>
      <c r="G26" s="29">
        <f>3*352+3*251.46</f>
        <v>1810.38</v>
      </c>
    </row>
    <row r="27" spans="1:7" ht="15.75" hidden="1">
      <c r="A27" s="28" t="s">
        <v>40</v>
      </c>
      <c r="B27" s="28"/>
      <c r="C27" s="28"/>
      <c r="D27" s="28"/>
      <c r="E27" s="28"/>
      <c r="F27" s="28"/>
      <c r="G27" s="2">
        <v>0</v>
      </c>
    </row>
    <row r="28" spans="1:7" ht="15.75" hidden="1">
      <c r="A28" s="28" t="s">
        <v>41</v>
      </c>
      <c r="B28" s="28"/>
      <c r="C28" s="28"/>
      <c r="D28" s="28"/>
      <c r="E28" s="28"/>
      <c r="F28" s="28"/>
      <c r="G28" s="29">
        <v>0</v>
      </c>
    </row>
    <row r="29" spans="1:7" ht="15.75" hidden="1">
      <c r="A29" s="28" t="s">
        <v>42</v>
      </c>
      <c r="B29" s="28"/>
      <c r="C29" s="28"/>
      <c r="D29" s="28"/>
      <c r="E29" s="28"/>
      <c r="F29" s="28"/>
      <c r="G29" s="29">
        <v>0</v>
      </c>
    </row>
    <row r="30" spans="1:7" ht="15.75">
      <c r="A30" s="28" t="s">
        <v>43</v>
      </c>
      <c r="B30" s="28"/>
      <c r="C30" s="28"/>
      <c r="D30" s="28"/>
      <c r="E30" s="28"/>
      <c r="F30" s="28"/>
      <c r="G30" s="29">
        <f>B3*1.75*4</f>
        <v>13932.800000000001</v>
      </c>
    </row>
    <row r="31" spans="1:7" ht="15.75" customHeight="1">
      <c r="A31" s="30" t="s">
        <v>44</v>
      </c>
      <c r="B31" s="30"/>
      <c r="C31" s="30"/>
      <c r="D31" s="30"/>
      <c r="E31" s="30"/>
      <c r="F31" s="30"/>
      <c r="G31" s="29">
        <f>(F13*4*8.57)+(B13*2*3.14)+(C13*1*3.14)+(D13*1*3.14)</f>
        <v>452.15999999999997</v>
      </c>
    </row>
    <row r="32" spans="1:7" ht="15.75">
      <c r="A32" s="28" t="s">
        <v>45</v>
      </c>
      <c r="B32" s="28"/>
      <c r="C32" s="28"/>
      <c r="D32" s="28"/>
      <c r="E32" s="28"/>
      <c r="F32" s="28"/>
      <c r="G32" s="29">
        <f>B3*0.65*4</f>
        <v>5175.04</v>
      </c>
    </row>
    <row r="33" spans="1:7" ht="15.75">
      <c r="A33" s="28" t="s">
        <v>46</v>
      </c>
      <c r="B33" s="28"/>
      <c r="C33" s="28"/>
      <c r="D33" s="28"/>
      <c r="E33" s="28"/>
      <c r="F33" s="28"/>
      <c r="G33" s="29">
        <f>B3*0.2*4</f>
        <v>1592.3200000000002</v>
      </c>
    </row>
    <row r="34" spans="1:7" ht="15.75">
      <c r="A34" s="28" t="s">
        <v>47</v>
      </c>
      <c r="B34" s="28"/>
      <c r="C34" s="28"/>
      <c r="D34" s="28"/>
      <c r="E34" s="28"/>
      <c r="F34" s="28"/>
      <c r="G34" s="29">
        <f>B3*0.7*4</f>
        <v>5573.12</v>
      </c>
    </row>
    <row r="35" spans="1:7" ht="15.75">
      <c r="A35" s="26" t="s">
        <v>48</v>
      </c>
      <c r="B35" s="26"/>
      <c r="C35" s="26"/>
      <c r="D35" s="26"/>
      <c r="E35" s="26"/>
      <c r="F35" s="26"/>
      <c r="G35" s="32">
        <f>G15+G16+G17+G18+G19+G20+G21+G22+G23+G24+G30+G31+G32+G33+G34+G26+G28+G29+G25</f>
        <v>85111.86559531503</v>
      </c>
    </row>
    <row r="36" spans="1:7" ht="20.25" customHeight="1">
      <c r="A36" s="33" t="s">
        <v>49</v>
      </c>
      <c r="B36" s="33"/>
      <c r="C36" s="33"/>
      <c r="D36" s="33"/>
      <c r="E36" s="33"/>
      <c r="F36" s="33"/>
      <c r="G36" s="29"/>
    </row>
    <row r="37" spans="1:7" ht="15.75" hidden="1">
      <c r="A37" s="28" t="s">
        <v>50</v>
      </c>
      <c r="B37" s="28"/>
      <c r="C37" s="28"/>
      <c r="D37" s="28"/>
      <c r="E37" s="28"/>
      <c r="F37" s="28"/>
      <c r="G37" s="29">
        <f>B3*2.96*12</f>
        <v>70699.008</v>
      </c>
    </row>
    <row r="38" spans="1:7" ht="15.75">
      <c r="A38" s="28" t="s">
        <v>51</v>
      </c>
      <c r="B38" s="28"/>
      <c r="C38" s="28"/>
      <c r="D38" s="28"/>
      <c r="E38" s="28"/>
      <c r="F38" s="28"/>
      <c r="G38" s="29"/>
    </row>
    <row r="39" spans="1:7" ht="15.75" hidden="1">
      <c r="A39" s="34" t="s">
        <v>52</v>
      </c>
      <c r="B39" s="34"/>
      <c r="C39" s="34"/>
      <c r="D39" s="34"/>
      <c r="E39" s="34"/>
      <c r="F39" s="34"/>
      <c r="G39" s="29"/>
    </row>
    <row r="40" spans="1:7" ht="15.75" hidden="1">
      <c r="A40" s="34" t="s">
        <v>53</v>
      </c>
      <c r="B40" s="34"/>
      <c r="C40" s="34"/>
      <c r="D40" s="34"/>
      <c r="E40" s="34"/>
      <c r="F40" s="34"/>
      <c r="G40" s="29"/>
    </row>
    <row r="41" spans="1:7" ht="15.75" hidden="1">
      <c r="A41" s="34" t="s">
        <v>54</v>
      </c>
      <c r="B41" s="34"/>
      <c r="C41" s="34"/>
      <c r="D41" s="34"/>
      <c r="E41" s="34"/>
      <c r="F41" s="34"/>
      <c r="G41" s="29"/>
    </row>
    <row r="42" spans="1:7" ht="15.75" hidden="1">
      <c r="A42" s="34" t="s">
        <v>55</v>
      </c>
      <c r="B42" s="34"/>
      <c r="C42" s="34"/>
      <c r="D42" s="34"/>
      <c r="E42" s="34"/>
      <c r="F42" s="34"/>
      <c r="G42" s="29"/>
    </row>
    <row r="43" spans="1:7" ht="15.75" hidden="1">
      <c r="A43" s="34" t="s">
        <v>56</v>
      </c>
      <c r="B43" s="34"/>
      <c r="C43" s="34"/>
      <c r="D43" s="34"/>
      <c r="E43" s="34"/>
      <c r="F43" s="34"/>
      <c r="G43" s="29"/>
    </row>
    <row r="44" spans="1:7" ht="15.75">
      <c r="A44" s="34" t="s">
        <v>57</v>
      </c>
      <c r="B44" s="34"/>
      <c r="C44" s="34"/>
      <c r="D44" s="34"/>
      <c r="E44" s="34"/>
      <c r="F44" s="34"/>
      <c r="G44" s="29">
        <v>3710</v>
      </c>
    </row>
    <row r="45" spans="1:7" ht="15.75">
      <c r="A45" s="34" t="s">
        <v>58</v>
      </c>
      <c r="B45" s="34"/>
      <c r="C45" s="34"/>
      <c r="D45" s="34"/>
      <c r="E45" s="34"/>
      <c r="F45" s="34"/>
      <c r="G45" s="29">
        <v>337</v>
      </c>
    </row>
    <row r="46" spans="1:7" ht="15.75">
      <c r="A46" s="34" t="s">
        <v>59</v>
      </c>
      <c r="B46" s="34"/>
      <c r="C46" s="34"/>
      <c r="D46" s="34"/>
      <c r="E46" s="34"/>
      <c r="F46" s="34"/>
      <c r="G46" s="29">
        <v>2520</v>
      </c>
    </row>
    <row r="47" spans="1:7" ht="15.75" hidden="1">
      <c r="A47" s="34" t="s">
        <v>60</v>
      </c>
      <c r="B47" s="34"/>
      <c r="C47" s="34"/>
      <c r="D47" s="34"/>
      <c r="E47" s="34"/>
      <c r="F47" s="34"/>
      <c r="G47" s="29"/>
    </row>
    <row r="48" spans="1:7" ht="15.75" hidden="1">
      <c r="A48" s="34" t="s">
        <v>61</v>
      </c>
      <c r="B48" s="34"/>
      <c r="C48" s="34"/>
      <c r="D48" s="34"/>
      <c r="E48" s="34"/>
      <c r="F48" s="34"/>
      <c r="G48" s="29"/>
    </row>
    <row r="49" spans="1:7" ht="15.75" hidden="1">
      <c r="A49" s="34" t="s">
        <v>62</v>
      </c>
      <c r="B49" s="34"/>
      <c r="C49" s="34"/>
      <c r="D49" s="34"/>
      <c r="E49" s="34"/>
      <c r="F49" s="34"/>
      <c r="G49" s="29"/>
    </row>
    <row r="50" spans="1:7" ht="15.75">
      <c r="A50" s="34" t="s">
        <v>63</v>
      </c>
      <c r="B50" s="34"/>
      <c r="C50" s="34"/>
      <c r="D50" s="34"/>
      <c r="E50" s="34"/>
      <c r="F50" s="34"/>
      <c r="G50" s="29">
        <v>4120</v>
      </c>
    </row>
    <row r="51" spans="1:7" ht="15.75" hidden="1">
      <c r="A51" s="34" t="s">
        <v>64</v>
      </c>
      <c r="B51" s="34"/>
      <c r="C51" s="34"/>
      <c r="D51" s="34"/>
      <c r="E51" s="34"/>
      <c r="F51" s="34"/>
      <c r="G51" s="29"/>
    </row>
    <row r="52" spans="1:7" ht="15.75" hidden="1">
      <c r="A52" s="34" t="s">
        <v>65</v>
      </c>
      <c r="B52" s="34"/>
      <c r="C52" s="34"/>
      <c r="D52" s="34"/>
      <c r="E52" s="34"/>
      <c r="F52" s="34"/>
      <c r="G52" s="29"/>
    </row>
    <row r="53" spans="1:7" ht="18.75" customHeight="1">
      <c r="A53" s="33" t="s">
        <v>66</v>
      </c>
      <c r="B53" s="33"/>
      <c r="C53" s="33"/>
      <c r="D53" s="33"/>
      <c r="E53" s="33"/>
      <c r="F53" s="33"/>
      <c r="G53" s="32">
        <f>G39+G40+G41+G42+G43+G44+G45+G46+G47+G48+G49+G50+G51+G52</f>
        <v>10687</v>
      </c>
    </row>
    <row r="54" spans="1:7" ht="21" customHeight="1">
      <c r="A54" s="33" t="s">
        <v>67</v>
      </c>
      <c r="B54" s="33"/>
      <c r="C54" s="33"/>
      <c r="D54" s="33"/>
      <c r="E54" s="33"/>
      <c r="F54" s="33"/>
      <c r="G54" s="32">
        <f>G35+G53</f>
        <v>95798.86559531503</v>
      </c>
    </row>
    <row r="55" spans="1:7" ht="15.75" hidden="1">
      <c r="A55" s="28" t="s">
        <v>68</v>
      </c>
      <c r="B55" s="28"/>
      <c r="C55" s="28"/>
      <c r="D55" s="28"/>
      <c r="E55" s="28"/>
      <c r="F55" s="28"/>
      <c r="G55" s="29">
        <v>0</v>
      </c>
    </row>
    <row r="56" spans="1:7" ht="15.75">
      <c r="A56" s="41" t="s">
        <v>69</v>
      </c>
      <c r="B56" s="41"/>
      <c r="C56" s="41"/>
      <c r="D56" s="41"/>
      <c r="E56" s="41"/>
      <c r="F56" s="41"/>
      <c r="G56" s="29">
        <f>281.58*4+141.6*4+180*4</f>
        <v>2412.72</v>
      </c>
    </row>
    <row r="57" spans="1:7" ht="15.75" customHeight="1">
      <c r="A57" s="42" t="s">
        <v>70</v>
      </c>
      <c r="B57" s="42"/>
      <c r="C57" s="42"/>
      <c r="D57" s="42"/>
      <c r="E57" s="42"/>
      <c r="F57" s="42"/>
      <c r="G57" s="32">
        <f>B3*B5*4+G56</f>
        <v>98827.696</v>
      </c>
    </row>
    <row r="58" spans="1:7" ht="15.75" customHeight="1">
      <c r="A58" s="43" t="s">
        <v>71</v>
      </c>
      <c r="B58" s="43"/>
      <c r="C58" s="43"/>
      <c r="D58" s="43"/>
      <c r="E58" s="43"/>
      <c r="F58" s="43"/>
      <c r="G58" s="44">
        <v>7841.4</v>
      </c>
    </row>
    <row r="59" spans="1:7" ht="68.25" customHeight="1">
      <c r="A59" s="33" t="s">
        <v>80</v>
      </c>
      <c r="B59" s="33"/>
      <c r="C59" s="33"/>
      <c r="D59" s="33"/>
      <c r="E59" s="33"/>
      <c r="F59" s="33"/>
      <c r="G59" s="32">
        <f>G54-G57+G58-G55</f>
        <v>4812.569595315033</v>
      </c>
    </row>
  </sheetData>
  <sheetProtection selectLockedCells="1" selectUnlockedCells="1"/>
  <mergeCells count="48">
    <mergeCell ref="A1:G1"/>
    <mergeCell ref="B2:E2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13"/>
  </sheetPr>
  <dimension ref="A1:G59"/>
  <sheetViews>
    <sheetView zoomScale="75" zoomScaleNormal="75" workbookViewId="0" topLeftCell="A30">
      <pane ySplit="65535" topLeftCell="A30" activePane="topLeft" state="split"/>
      <selection pane="topLeft" activeCell="G58" activeCellId="1" sqref="A77:G138 G58"/>
      <selection pane="bottomLeft" activeCell="A30" sqref="A30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4.57421875" style="1" customWidth="1"/>
    <col min="8" max="16384" width="9.140625" style="1" customWidth="1"/>
  </cols>
  <sheetData>
    <row r="1" spans="1:7" ht="40.5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73</v>
      </c>
      <c r="B2" s="7" t="s">
        <v>142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75</v>
      </c>
      <c r="B3" s="10">
        <v>2711.6</v>
      </c>
      <c r="F3" s="8" t="s">
        <v>5</v>
      </c>
      <c r="G3" s="11">
        <v>4</v>
      </c>
    </row>
    <row r="4" spans="1:7" ht="18.75">
      <c r="A4" s="12" t="s">
        <v>76</v>
      </c>
      <c r="B4" s="13"/>
      <c r="F4" s="8" t="s">
        <v>8</v>
      </c>
      <c r="G4" s="9">
        <v>1974</v>
      </c>
    </row>
    <row r="5" spans="1:3" ht="16.5" customHeight="1">
      <c r="A5" s="12" t="s">
        <v>76</v>
      </c>
      <c r="B5" s="13">
        <v>9.96</v>
      </c>
      <c r="C5" s="1" t="s">
        <v>9</v>
      </c>
    </row>
    <row r="6" spans="1:7" ht="18.75" hidden="1">
      <c r="A6" s="14" t="s">
        <v>10</v>
      </c>
      <c r="B6" s="15">
        <v>276.8</v>
      </c>
      <c r="C6" s="16"/>
      <c r="D6" s="16"/>
      <c r="E6" s="16"/>
      <c r="F6" s="16"/>
      <c r="G6" s="16"/>
    </row>
    <row r="7" spans="1:7" ht="18.75" hidden="1">
      <c r="A7" s="14" t="s">
        <v>12</v>
      </c>
      <c r="B7" s="17">
        <v>0</v>
      </c>
      <c r="C7" s="16"/>
      <c r="D7" s="16"/>
      <c r="E7" s="16"/>
      <c r="F7" s="16"/>
      <c r="G7" s="16"/>
    </row>
    <row r="8" spans="1:7" ht="38.25" customHeight="1" hidden="1">
      <c r="A8" s="18" t="s">
        <v>13</v>
      </c>
      <c r="B8" s="19" t="s">
        <v>14</v>
      </c>
      <c r="C8" s="19" t="s">
        <v>15</v>
      </c>
      <c r="D8" s="19" t="s">
        <v>16</v>
      </c>
      <c r="E8" s="19" t="s">
        <v>17</v>
      </c>
      <c r="F8" s="16"/>
      <c r="G8" s="16"/>
    </row>
    <row r="9" spans="1:7" ht="20.25" customHeight="1" hidden="1">
      <c r="A9" s="14"/>
      <c r="B9" s="17">
        <v>712</v>
      </c>
      <c r="C9" s="17">
        <v>2424</v>
      </c>
      <c r="D9" s="17">
        <v>617</v>
      </c>
      <c r="E9" s="17">
        <v>2519</v>
      </c>
      <c r="F9" s="16"/>
      <c r="G9" s="16"/>
    </row>
    <row r="10" spans="1:7" ht="18.75" hidden="1">
      <c r="A10" s="14" t="s">
        <v>18</v>
      </c>
      <c r="B10" s="20">
        <v>0</v>
      </c>
      <c r="C10" s="16"/>
      <c r="D10" s="16"/>
      <c r="E10" s="16"/>
      <c r="F10" s="16"/>
      <c r="G10" s="16"/>
    </row>
    <row r="11" spans="1:7" ht="19.5" hidden="1">
      <c r="A11" s="14" t="s">
        <v>19</v>
      </c>
      <c r="B11" s="20">
        <v>689</v>
      </c>
      <c r="C11" s="20">
        <v>542.4</v>
      </c>
      <c r="D11" s="20">
        <f>B11+C11</f>
        <v>1231.4</v>
      </c>
      <c r="E11" s="16"/>
      <c r="F11" s="16"/>
      <c r="G11" s="16"/>
    </row>
    <row r="12" spans="1:7" ht="50.25" customHeight="1" hidden="1">
      <c r="A12" s="14" t="s">
        <v>20</v>
      </c>
      <c r="B12" s="19" t="s">
        <v>21</v>
      </c>
      <c r="C12" s="21" t="s">
        <v>22</v>
      </c>
      <c r="D12" s="19" t="s">
        <v>23</v>
      </c>
      <c r="E12" s="22" t="s">
        <v>24</v>
      </c>
      <c r="F12" s="17" t="s">
        <v>25</v>
      </c>
      <c r="G12" s="16"/>
    </row>
    <row r="13" spans="1:7" ht="23.25" customHeight="1" hidden="1">
      <c r="A13" s="23"/>
      <c r="B13" s="24">
        <v>60</v>
      </c>
      <c r="C13" s="24">
        <v>60</v>
      </c>
      <c r="D13" s="24"/>
      <c r="E13" s="25">
        <f>D13+C13+B13</f>
        <v>120</v>
      </c>
      <c r="F13" s="17"/>
      <c r="G13" s="16"/>
    </row>
    <row r="14" spans="1:7" ht="18.75" customHeight="1">
      <c r="A14" s="26" t="s">
        <v>26</v>
      </c>
      <c r="B14" s="26"/>
      <c r="C14" s="26"/>
      <c r="D14" s="26"/>
      <c r="E14" s="26"/>
      <c r="F14" s="26"/>
      <c r="G14" s="27" t="s">
        <v>27</v>
      </c>
    </row>
    <row r="15" spans="1:7" ht="15.75">
      <c r="A15" s="28" t="s">
        <v>28</v>
      </c>
      <c r="B15" s="28"/>
      <c r="C15" s="28"/>
      <c r="D15" s="28"/>
      <c r="E15" s="28"/>
      <c r="F15" s="28"/>
      <c r="G15" s="29">
        <f>B6*7.012*4</f>
        <v>7763.6864</v>
      </c>
    </row>
    <row r="16" spans="1:7" ht="15.75" hidden="1">
      <c r="A16" s="28" t="s">
        <v>29</v>
      </c>
      <c r="B16" s="28"/>
      <c r="C16" s="28"/>
      <c r="D16" s="28"/>
      <c r="E16" s="28"/>
      <c r="F16" s="28"/>
      <c r="G16" s="29">
        <f>B7*35.705*12</f>
        <v>0</v>
      </c>
    </row>
    <row r="17" spans="1:7" ht="15.75" hidden="1">
      <c r="A17" s="28" t="s">
        <v>30</v>
      </c>
      <c r="B17" s="28"/>
      <c r="C17" s="28"/>
      <c r="D17" s="28"/>
      <c r="E17" s="28"/>
      <c r="F17" s="28"/>
      <c r="G17" s="29">
        <f>B10*0.3613*12</f>
        <v>0</v>
      </c>
    </row>
    <row r="18" spans="1:7" ht="15.75">
      <c r="A18" s="28" t="s">
        <v>31</v>
      </c>
      <c r="B18" s="28"/>
      <c r="C18" s="28"/>
      <c r="D18" s="28"/>
      <c r="E18" s="28"/>
      <c r="F18" s="28"/>
      <c r="G18" s="29">
        <f>(B9*9.46/100*64)+(C9*7.09/100*38)+(D9*23.66/100*26)+(E9*1.77/100*5)</f>
        <v>14859.942300000002</v>
      </c>
    </row>
    <row r="19" spans="1:7" ht="15.75" customHeight="1">
      <c r="A19" s="30" t="s">
        <v>32</v>
      </c>
      <c r="B19" s="30"/>
      <c r="C19" s="30"/>
      <c r="D19" s="30"/>
      <c r="E19" s="30"/>
      <c r="F19" s="30"/>
      <c r="G19" s="31">
        <f>574906.73/199064.79*B3</f>
        <v>7831.204549373095</v>
      </c>
    </row>
    <row r="20" spans="1:7" ht="15.75">
      <c r="A20" s="28" t="s">
        <v>33</v>
      </c>
      <c r="B20" s="28"/>
      <c r="C20" s="28"/>
      <c r="D20" s="28"/>
      <c r="E20" s="28"/>
      <c r="F20" s="28"/>
      <c r="G20" s="29">
        <f>D11*0.14*2</f>
        <v>344.79200000000003</v>
      </c>
    </row>
    <row r="21" spans="1:7" ht="15.75" hidden="1">
      <c r="A21" s="28" t="s">
        <v>34</v>
      </c>
      <c r="B21" s="28"/>
      <c r="C21" s="28"/>
      <c r="D21" s="28"/>
      <c r="E21" s="28"/>
      <c r="F21" s="28"/>
      <c r="G21" s="29">
        <v>0</v>
      </c>
    </row>
    <row r="22" spans="1:7" ht="15.75">
      <c r="A22" s="28" t="s">
        <v>35</v>
      </c>
      <c r="B22" s="28"/>
      <c r="C22" s="28"/>
      <c r="D22" s="28"/>
      <c r="E22" s="28"/>
      <c r="F22" s="28"/>
      <c r="G22" s="29">
        <f>B3*0.845*4</f>
        <v>9165.207999999999</v>
      </c>
    </row>
    <row r="23" spans="1:7" ht="15.75" hidden="1">
      <c r="A23" s="28" t="s">
        <v>36</v>
      </c>
      <c r="B23" s="28"/>
      <c r="C23" s="28"/>
      <c r="D23" s="28"/>
      <c r="E23" s="28"/>
      <c r="F23" s="28"/>
      <c r="G23" s="29">
        <v>0</v>
      </c>
    </row>
    <row r="24" spans="1:7" ht="15.75" hidden="1">
      <c r="A24" s="28" t="s">
        <v>37</v>
      </c>
      <c r="B24" s="28"/>
      <c r="C24" s="28"/>
      <c r="D24" s="28"/>
      <c r="E24" s="28"/>
      <c r="F24" s="28"/>
      <c r="G24" s="29">
        <v>0</v>
      </c>
    </row>
    <row r="25" spans="1:7" ht="15.75" hidden="1">
      <c r="A25" s="28" t="s">
        <v>38</v>
      </c>
      <c r="B25" s="28"/>
      <c r="C25" s="28"/>
      <c r="D25" s="28"/>
      <c r="E25" s="28"/>
      <c r="F25" s="28"/>
      <c r="G25" s="29">
        <v>0</v>
      </c>
    </row>
    <row r="26" spans="1:7" ht="15.75">
      <c r="A26" s="28" t="s">
        <v>39</v>
      </c>
      <c r="B26" s="28"/>
      <c r="C26" s="28"/>
      <c r="D26" s="28"/>
      <c r="E26" s="28"/>
      <c r="F26" s="28"/>
      <c r="G26" s="29">
        <f>3399.9</f>
        <v>3399.9</v>
      </c>
    </row>
    <row r="27" spans="1:7" ht="15.75" hidden="1">
      <c r="A27" s="28" t="s">
        <v>40</v>
      </c>
      <c r="B27" s="28"/>
      <c r="C27" s="28"/>
      <c r="D27" s="28"/>
      <c r="E27" s="28"/>
      <c r="F27" s="28"/>
      <c r="G27" s="29">
        <v>0</v>
      </c>
    </row>
    <row r="28" spans="1:7" ht="15.75" hidden="1">
      <c r="A28" s="28" t="s">
        <v>41</v>
      </c>
      <c r="B28" s="28"/>
      <c r="C28" s="28"/>
      <c r="D28" s="28"/>
      <c r="E28" s="28"/>
      <c r="F28" s="28"/>
      <c r="G28" s="29">
        <v>0</v>
      </c>
    </row>
    <row r="29" spans="1:7" ht="15.75" hidden="1">
      <c r="A29" s="28" t="s">
        <v>42</v>
      </c>
      <c r="B29" s="28"/>
      <c r="C29" s="28"/>
      <c r="D29" s="28"/>
      <c r="E29" s="28"/>
      <c r="F29" s="28"/>
      <c r="G29" s="29">
        <v>0</v>
      </c>
    </row>
    <row r="30" spans="1:7" ht="15.75">
      <c r="A30" s="28" t="s">
        <v>43</v>
      </c>
      <c r="B30" s="28"/>
      <c r="C30" s="28"/>
      <c r="D30" s="28"/>
      <c r="E30" s="28"/>
      <c r="F30" s="28"/>
      <c r="G30" s="29">
        <f>B3*1.75*4</f>
        <v>18981.2</v>
      </c>
    </row>
    <row r="31" spans="1:7" ht="15.75" customHeight="1">
      <c r="A31" s="30" t="s">
        <v>44</v>
      </c>
      <c r="B31" s="30"/>
      <c r="C31" s="30"/>
      <c r="D31" s="30"/>
      <c r="E31" s="30"/>
      <c r="F31" s="30"/>
      <c r="G31" s="29">
        <f>(F13*4*8.57)+(B13*2*3.14)+(C13*1*3.14)+(D13*1*3.14)</f>
        <v>565.2</v>
      </c>
    </row>
    <row r="32" spans="1:7" ht="15.75">
      <c r="A32" s="28" t="s">
        <v>45</v>
      </c>
      <c r="B32" s="28"/>
      <c r="C32" s="28"/>
      <c r="D32" s="28"/>
      <c r="E32" s="28"/>
      <c r="F32" s="28"/>
      <c r="G32" s="29">
        <f>B3*0.65*4</f>
        <v>7050.16</v>
      </c>
    </row>
    <row r="33" spans="1:7" ht="15.75">
      <c r="A33" s="28" t="s">
        <v>46</v>
      </c>
      <c r="B33" s="28"/>
      <c r="C33" s="28"/>
      <c r="D33" s="28"/>
      <c r="E33" s="28"/>
      <c r="F33" s="28"/>
      <c r="G33" s="29">
        <f>B3*0.2*4</f>
        <v>2169.28</v>
      </c>
    </row>
    <row r="34" spans="1:7" ht="15.75">
      <c r="A34" s="28" t="s">
        <v>47</v>
      </c>
      <c r="B34" s="28"/>
      <c r="C34" s="28"/>
      <c r="D34" s="28"/>
      <c r="E34" s="28"/>
      <c r="F34" s="28"/>
      <c r="G34" s="29">
        <f>B3*0.7*4</f>
        <v>7592.48</v>
      </c>
    </row>
    <row r="35" spans="1:7" ht="15.75">
      <c r="A35" s="26" t="s">
        <v>48</v>
      </c>
      <c r="B35" s="26"/>
      <c r="C35" s="26"/>
      <c r="D35" s="26"/>
      <c r="E35" s="26"/>
      <c r="F35" s="26"/>
      <c r="G35" s="32">
        <f>G15+G16+G17+G18+G19+G20+G21+G22+G23+G24+G26+G30+G31+G32+G33+G34+G27+G28+G29+G25</f>
        <v>79723.0532493731</v>
      </c>
    </row>
    <row r="36" spans="1:7" ht="20.25" customHeight="1">
      <c r="A36" s="33" t="s">
        <v>49</v>
      </c>
      <c r="B36" s="33"/>
      <c r="C36" s="33"/>
      <c r="D36" s="33"/>
      <c r="E36" s="33"/>
      <c r="F36" s="33"/>
      <c r="G36" s="29"/>
    </row>
    <row r="37" spans="1:7" ht="15.75" hidden="1">
      <c r="A37" s="28" t="s">
        <v>50</v>
      </c>
      <c r="B37" s="28"/>
      <c r="C37" s="28"/>
      <c r="D37" s="28"/>
      <c r="E37" s="28"/>
      <c r="F37" s="28"/>
      <c r="G37" s="29">
        <f>B3*2.96*12</f>
        <v>96316.03199999999</v>
      </c>
    </row>
    <row r="38" spans="1:7" ht="15.75">
      <c r="A38" s="28" t="s">
        <v>51</v>
      </c>
      <c r="B38" s="28"/>
      <c r="C38" s="28"/>
      <c r="D38" s="28"/>
      <c r="E38" s="28"/>
      <c r="F38" s="28"/>
      <c r="G38" s="29"/>
    </row>
    <row r="39" spans="1:7" ht="15.75">
      <c r="A39" s="34" t="s">
        <v>52</v>
      </c>
      <c r="B39" s="34"/>
      <c r="C39" s="34"/>
      <c r="D39" s="34"/>
      <c r="E39" s="34"/>
      <c r="F39" s="34"/>
      <c r="G39" s="29">
        <v>31050</v>
      </c>
    </row>
    <row r="40" spans="1:7" ht="15.75" hidden="1">
      <c r="A40" s="34" t="s">
        <v>53</v>
      </c>
      <c r="B40" s="34"/>
      <c r="C40" s="34"/>
      <c r="D40" s="34"/>
      <c r="E40" s="34"/>
      <c r="F40" s="34"/>
      <c r="G40" s="29"/>
    </row>
    <row r="41" spans="1:7" ht="15.75" hidden="1">
      <c r="A41" s="34" t="s">
        <v>54</v>
      </c>
      <c r="B41" s="34"/>
      <c r="C41" s="34"/>
      <c r="D41" s="34"/>
      <c r="E41" s="34"/>
      <c r="F41" s="34"/>
      <c r="G41" s="29"/>
    </row>
    <row r="42" spans="1:7" ht="15.75" hidden="1">
      <c r="A42" s="34" t="s">
        <v>55</v>
      </c>
      <c r="B42" s="34"/>
      <c r="C42" s="34"/>
      <c r="D42" s="34"/>
      <c r="E42" s="34"/>
      <c r="F42" s="34"/>
      <c r="G42" s="29"/>
    </row>
    <row r="43" spans="1:7" ht="15.75" hidden="1">
      <c r="A43" s="34" t="s">
        <v>56</v>
      </c>
      <c r="B43" s="34"/>
      <c r="C43" s="34"/>
      <c r="D43" s="34"/>
      <c r="E43" s="34"/>
      <c r="F43" s="34"/>
      <c r="G43" s="29"/>
    </row>
    <row r="44" spans="1:7" ht="15.75" hidden="1">
      <c r="A44" s="34" t="s">
        <v>57</v>
      </c>
      <c r="B44" s="34"/>
      <c r="C44" s="34"/>
      <c r="D44" s="34"/>
      <c r="E44" s="34"/>
      <c r="F44" s="34"/>
      <c r="G44" s="29"/>
    </row>
    <row r="45" spans="1:7" ht="15.75">
      <c r="A45" s="34" t="s">
        <v>58</v>
      </c>
      <c r="B45" s="34"/>
      <c r="C45" s="34"/>
      <c r="D45" s="34"/>
      <c r="E45" s="34"/>
      <c r="F45" s="34"/>
      <c r="G45" s="29">
        <v>168</v>
      </c>
    </row>
    <row r="46" spans="1:7" ht="15.75" hidden="1">
      <c r="A46" s="34" t="s">
        <v>59</v>
      </c>
      <c r="B46" s="34"/>
      <c r="C46" s="34"/>
      <c r="D46" s="34"/>
      <c r="E46" s="34"/>
      <c r="F46" s="34"/>
      <c r="G46" s="29"/>
    </row>
    <row r="47" spans="1:7" ht="15.75" hidden="1">
      <c r="A47" s="34" t="s">
        <v>60</v>
      </c>
      <c r="B47" s="34"/>
      <c r="C47" s="34"/>
      <c r="D47" s="34"/>
      <c r="E47" s="34"/>
      <c r="F47" s="34"/>
      <c r="G47" s="29"/>
    </row>
    <row r="48" spans="1:7" ht="15.75" hidden="1">
      <c r="A48" s="34" t="s">
        <v>61</v>
      </c>
      <c r="B48" s="34"/>
      <c r="C48" s="34"/>
      <c r="D48" s="34"/>
      <c r="E48" s="34"/>
      <c r="F48" s="34"/>
      <c r="G48" s="29"/>
    </row>
    <row r="49" spans="1:7" ht="15.75" hidden="1">
      <c r="A49" s="34" t="s">
        <v>62</v>
      </c>
      <c r="B49" s="34"/>
      <c r="C49" s="34"/>
      <c r="D49" s="34"/>
      <c r="E49" s="34"/>
      <c r="F49" s="34"/>
      <c r="G49" s="29"/>
    </row>
    <row r="50" spans="1:7" ht="15.75">
      <c r="A50" s="34" t="s">
        <v>63</v>
      </c>
      <c r="B50" s="34"/>
      <c r="C50" s="34"/>
      <c r="D50" s="34"/>
      <c r="E50" s="34"/>
      <c r="F50" s="34"/>
      <c r="G50" s="29">
        <v>5870</v>
      </c>
    </row>
    <row r="51" spans="1:7" ht="15.75" hidden="1">
      <c r="A51" s="34" t="s">
        <v>64</v>
      </c>
      <c r="B51" s="34"/>
      <c r="C51" s="34"/>
      <c r="D51" s="34"/>
      <c r="E51" s="34"/>
      <c r="F51" s="34"/>
      <c r="G51" s="29"/>
    </row>
    <row r="52" spans="1:7" ht="15.75" hidden="1">
      <c r="A52" s="34" t="s">
        <v>65</v>
      </c>
      <c r="B52" s="34"/>
      <c r="C52" s="34"/>
      <c r="D52" s="34"/>
      <c r="E52" s="34"/>
      <c r="F52" s="34"/>
      <c r="G52" s="29"/>
    </row>
    <row r="53" spans="1:7" ht="18.75" customHeight="1">
      <c r="A53" s="33" t="s">
        <v>66</v>
      </c>
      <c r="B53" s="33"/>
      <c r="C53" s="33"/>
      <c r="D53" s="33"/>
      <c r="E53" s="33"/>
      <c r="F53" s="33"/>
      <c r="G53" s="32">
        <f>G39+G40+G41+G42+G43+G44+G45+G46+G47+G48+G49+G50+G51+G52</f>
        <v>37088</v>
      </c>
    </row>
    <row r="54" spans="1:7" ht="21" customHeight="1">
      <c r="A54" s="33" t="s">
        <v>67</v>
      </c>
      <c r="B54" s="33"/>
      <c r="C54" s="33"/>
      <c r="D54" s="33"/>
      <c r="E54" s="33"/>
      <c r="F54" s="33"/>
      <c r="G54" s="32">
        <f>G35+G53</f>
        <v>116811.0532493731</v>
      </c>
    </row>
    <row r="55" spans="1:7" ht="15.75" hidden="1">
      <c r="A55" s="28" t="s">
        <v>68</v>
      </c>
      <c r="B55" s="28"/>
      <c r="C55" s="28"/>
      <c r="D55" s="28"/>
      <c r="E55" s="28"/>
      <c r="F55" s="28"/>
      <c r="G55" s="29">
        <v>0</v>
      </c>
    </row>
    <row r="56" spans="1:7" ht="15.75">
      <c r="A56" s="41" t="s">
        <v>69</v>
      </c>
      <c r="B56" s="41"/>
      <c r="C56" s="41"/>
      <c r="D56" s="41"/>
      <c r="E56" s="41"/>
      <c r="F56" s="41"/>
      <c r="G56" s="29">
        <f>141.6*4</f>
        <v>566.4</v>
      </c>
    </row>
    <row r="57" spans="1:7" ht="15.75" customHeight="1">
      <c r="A57" s="42" t="s">
        <v>70</v>
      </c>
      <c r="B57" s="42"/>
      <c r="C57" s="42"/>
      <c r="D57" s="42"/>
      <c r="E57" s="42"/>
      <c r="F57" s="42"/>
      <c r="G57" s="32">
        <f>B3*B5*4+G56</f>
        <v>108596.544</v>
      </c>
    </row>
    <row r="58" spans="1:7" ht="15.75" customHeight="1">
      <c r="A58" s="43" t="s">
        <v>71</v>
      </c>
      <c r="B58" s="43"/>
      <c r="C58" s="43"/>
      <c r="D58" s="43"/>
      <c r="E58" s="43"/>
      <c r="F58" s="43"/>
      <c r="G58" s="44">
        <v>16191.68</v>
      </c>
    </row>
    <row r="59" spans="1:7" ht="55.5" customHeight="1">
      <c r="A59" s="33" t="s">
        <v>80</v>
      </c>
      <c r="B59" s="33"/>
      <c r="C59" s="33"/>
      <c r="D59" s="33"/>
      <c r="E59" s="33"/>
      <c r="F59" s="33"/>
      <c r="G59" s="32">
        <f>G54-G57+G58-G55</f>
        <v>24406.189249373107</v>
      </c>
    </row>
  </sheetData>
  <sheetProtection selectLockedCells="1" selectUnlockedCells="1"/>
  <mergeCells count="48">
    <mergeCell ref="A1:G1"/>
    <mergeCell ref="B2:E2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0"/>
  </sheetPr>
  <dimension ref="A1:G59"/>
  <sheetViews>
    <sheetView zoomScale="75" zoomScaleNormal="75" workbookViewId="0" topLeftCell="A22">
      <pane ySplit="65535" topLeftCell="A22" activePane="topLeft" state="split"/>
      <selection pane="topLeft" activeCell="G58" activeCellId="1" sqref="A77:G138 G58"/>
      <selection pane="bottomLeft" activeCell="A22" sqref="A22"/>
    </sheetView>
  </sheetViews>
  <sheetFormatPr defaultColWidth="9.140625" defaultRowHeight="12.75"/>
  <cols>
    <col min="1" max="1" width="23.8515625" style="1" customWidth="1"/>
    <col min="2" max="2" width="11.57421875" style="1" customWidth="1"/>
    <col min="3" max="5" width="9.140625" style="1" customWidth="1"/>
    <col min="6" max="6" width="21.421875" style="1" customWidth="1"/>
    <col min="7" max="7" width="15.00390625" style="1" customWidth="1"/>
    <col min="8" max="16384" width="9.140625" style="1" customWidth="1"/>
  </cols>
  <sheetData>
    <row r="1" spans="1:7" ht="39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143</v>
      </c>
      <c r="C2" s="7"/>
      <c r="D2" s="7"/>
      <c r="E2" s="7"/>
      <c r="F2" s="8" t="s">
        <v>3</v>
      </c>
      <c r="G2" s="9">
        <v>2</v>
      </c>
    </row>
    <row r="3" spans="1:7" ht="18.75">
      <c r="A3" s="6" t="s">
        <v>4</v>
      </c>
      <c r="B3" s="10">
        <v>269.4</v>
      </c>
      <c r="F3" s="8" t="s">
        <v>5</v>
      </c>
      <c r="G3" s="11">
        <v>1</v>
      </c>
    </row>
    <row r="4" spans="1:7" ht="18.75">
      <c r="A4" s="12" t="s">
        <v>6</v>
      </c>
      <c r="B4" s="13"/>
      <c r="F4" s="8" t="s">
        <v>8</v>
      </c>
      <c r="G4" s="9">
        <v>1961</v>
      </c>
    </row>
    <row r="5" spans="1:3" ht="16.5" customHeight="1">
      <c r="A5" s="12" t="s">
        <v>6</v>
      </c>
      <c r="B5" s="13">
        <v>11.3</v>
      </c>
      <c r="C5" s="1" t="s">
        <v>9</v>
      </c>
    </row>
    <row r="6" spans="1:7" ht="18.75" hidden="1">
      <c r="A6" s="14" t="s">
        <v>10</v>
      </c>
      <c r="B6" s="15">
        <v>20.1</v>
      </c>
      <c r="C6" s="16"/>
      <c r="D6" s="16"/>
      <c r="E6" s="16"/>
      <c r="F6" s="16"/>
      <c r="G6" s="16"/>
    </row>
    <row r="7" spans="1:7" ht="18.75" hidden="1">
      <c r="A7" s="14" t="s">
        <v>12</v>
      </c>
      <c r="B7" s="17">
        <v>0</v>
      </c>
      <c r="C7" s="16"/>
      <c r="D7" s="16"/>
      <c r="E7" s="16"/>
      <c r="F7" s="16"/>
      <c r="G7" s="16"/>
    </row>
    <row r="8" spans="1:7" ht="38.25" customHeight="1" hidden="1">
      <c r="A8" s="18" t="s">
        <v>13</v>
      </c>
      <c r="B8" s="19" t="s">
        <v>14</v>
      </c>
      <c r="C8" s="19" t="s">
        <v>15</v>
      </c>
      <c r="D8" s="19" t="s">
        <v>16</v>
      </c>
      <c r="E8" s="19" t="s">
        <v>17</v>
      </c>
      <c r="F8" s="16"/>
      <c r="G8" s="16"/>
    </row>
    <row r="9" spans="1:7" ht="20.25" customHeight="1" hidden="1">
      <c r="A9" s="14"/>
      <c r="B9" s="17">
        <v>197</v>
      </c>
      <c r="C9" s="17">
        <v>812</v>
      </c>
      <c r="D9" s="17">
        <v>197</v>
      </c>
      <c r="E9" s="17">
        <v>812</v>
      </c>
      <c r="F9" s="16"/>
      <c r="G9" s="16"/>
    </row>
    <row r="10" spans="1:7" ht="18.75" hidden="1">
      <c r="A10" s="14" t="s">
        <v>18</v>
      </c>
      <c r="B10" s="20">
        <v>0</v>
      </c>
      <c r="C10" s="16"/>
      <c r="D10" s="16"/>
      <c r="E10" s="16"/>
      <c r="F10" s="16"/>
      <c r="G10" s="16"/>
    </row>
    <row r="11" spans="1:7" ht="19.5" hidden="1">
      <c r="A11" s="14" t="s">
        <v>19</v>
      </c>
      <c r="B11" s="20">
        <v>0</v>
      </c>
      <c r="C11" s="20">
        <v>134.7</v>
      </c>
      <c r="D11" s="20">
        <f>B11+C11</f>
        <v>134.7</v>
      </c>
      <c r="E11" s="16"/>
      <c r="F11" s="16"/>
      <c r="G11" s="16"/>
    </row>
    <row r="12" spans="1:7" ht="50.25" customHeight="1" hidden="1">
      <c r="A12" s="14" t="s">
        <v>20</v>
      </c>
      <c r="B12" s="19" t="s">
        <v>21</v>
      </c>
      <c r="C12" s="21" t="s">
        <v>22</v>
      </c>
      <c r="D12" s="19" t="s">
        <v>23</v>
      </c>
      <c r="E12" s="22" t="s">
        <v>24</v>
      </c>
      <c r="F12" s="17" t="s">
        <v>25</v>
      </c>
      <c r="G12" s="16"/>
    </row>
    <row r="13" spans="1:7" ht="23.25" customHeight="1" hidden="1">
      <c r="A13" s="23"/>
      <c r="B13" s="24">
        <v>8</v>
      </c>
      <c r="C13" s="24">
        <v>8</v>
      </c>
      <c r="D13" s="24"/>
      <c r="E13" s="25">
        <f>D13+C13+B13</f>
        <v>16</v>
      </c>
      <c r="F13" s="17"/>
      <c r="G13" s="16"/>
    </row>
    <row r="14" spans="1:7" ht="18.75" customHeight="1">
      <c r="A14" s="26" t="s">
        <v>26</v>
      </c>
      <c r="B14" s="26"/>
      <c r="C14" s="26"/>
      <c r="D14" s="26"/>
      <c r="E14" s="26"/>
      <c r="F14" s="26"/>
      <c r="G14" s="27" t="s">
        <v>27</v>
      </c>
    </row>
    <row r="15" spans="1:7" ht="15.75">
      <c r="A15" s="28" t="s">
        <v>28</v>
      </c>
      <c r="B15" s="28"/>
      <c r="C15" s="28"/>
      <c r="D15" s="28"/>
      <c r="E15" s="28"/>
      <c r="F15" s="28"/>
      <c r="G15" s="29">
        <f>B6*8.689*4</f>
        <v>698.5956000000001</v>
      </c>
    </row>
    <row r="16" spans="1:7" ht="15.75" hidden="1">
      <c r="A16" s="28" t="s">
        <v>29</v>
      </c>
      <c r="B16" s="28"/>
      <c r="C16" s="28"/>
      <c r="D16" s="28"/>
      <c r="E16" s="28"/>
      <c r="F16" s="28"/>
      <c r="G16" s="29">
        <f>B7*19.03*12</f>
        <v>0</v>
      </c>
    </row>
    <row r="17" spans="1:7" ht="15.75" hidden="1">
      <c r="A17" s="28" t="s">
        <v>30</v>
      </c>
      <c r="B17" s="28"/>
      <c r="C17" s="28"/>
      <c r="D17" s="28"/>
      <c r="E17" s="28"/>
      <c r="F17" s="28"/>
      <c r="G17" s="29">
        <f>B10*0.4523*12</f>
        <v>0</v>
      </c>
    </row>
    <row r="18" spans="1:7" ht="15.75">
      <c r="A18" s="28" t="s">
        <v>31</v>
      </c>
      <c r="B18" s="28"/>
      <c r="C18" s="28"/>
      <c r="D18" s="28"/>
      <c r="E18" s="28"/>
      <c r="F18" s="28"/>
      <c r="G18" s="29">
        <f>(B9*12.84/100*64)+(C9*9.63/100*38)+(D9*32.11/100*26)+(E9*2.41/100*5)</f>
        <v>6332.8202</v>
      </c>
    </row>
    <row r="19" spans="1:7" ht="15.75" customHeight="1">
      <c r="A19" s="30" t="s">
        <v>32</v>
      </c>
      <c r="B19" s="30"/>
      <c r="C19" s="30"/>
      <c r="D19" s="30"/>
      <c r="E19" s="30"/>
      <c r="F19" s="30"/>
      <c r="G19" s="31">
        <f>574906.73/199064.79*B3</f>
        <v>778.0375075974007</v>
      </c>
    </row>
    <row r="20" spans="1:7" ht="15.75">
      <c r="A20" s="28" t="s">
        <v>33</v>
      </c>
      <c r="B20" s="28"/>
      <c r="C20" s="28"/>
      <c r="D20" s="28"/>
      <c r="E20" s="28"/>
      <c r="F20" s="28"/>
      <c r="G20" s="29">
        <f>D11*0.14*2</f>
        <v>37.716</v>
      </c>
    </row>
    <row r="21" spans="1:7" ht="15.75" hidden="1">
      <c r="A21" s="28" t="s">
        <v>34</v>
      </c>
      <c r="B21" s="28"/>
      <c r="C21" s="28"/>
      <c r="D21" s="28"/>
      <c r="E21" s="28"/>
      <c r="F21" s="28"/>
      <c r="G21" s="29">
        <v>0</v>
      </c>
    </row>
    <row r="22" spans="1:7" ht="15.75">
      <c r="A22" s="28" t="s">
        <v>35</v>
      </c>
      <c r="B22" s="28"/>
      <c r="C22" s="28"/>
      <c r="D22" s="28"/>
      <c r="E22" s="28"/>
      <c r="F22" s="28"/>
      <c r="G22" s="29">
        <f>B3*0.845*4</f>
        <v>910.5719999999999</v>
      </c>
    </row>
    <row r="23" spans="1:7" ht="15.75" hidden="1">
      <c r="A23" s="28" t="s">
        <v>36</v>
      </c>
      <c r="B23" s="28"/>
      <c r="C23" s="28"/>
      <c r="D23" s="28"/>
      <c r="E23" s="28"/>
      <c r="F23" s="28"/>
      <c r="G23" s="29">
        <v>0</v>
      </c>
    </row>
    <row r="24" spans="1:7" ht="15.75" hidden="1">
      <c r="A24" s="28" t="s">
        <v>37</v>
      </c>
      <c r="B24" s="28"/>
      <c r="C24" s="28"/>
      <c r="D24" s="28"/>
      <c r="E24" s="28"/>
      <c r="F24" s="28"/>
      <c r="G24" s="29">
        <v>0</v>
      </c>
    </row>
    <row r="25" spans="1:7" ht="15.75" hidden="1">
      <c r="A25" s="28" t="s">
        <v>38</v>
      </c>
      <c r="B25" s="28"/>
      <c r="C25" s="28"/>
      <c r="D25" s="28"/>
      <c r="E25" s="28"/>
      <c r="F25" s="28"/>
      <c r="G25" s="29">
        <v>0</v>
      </c>
    </row>
    <row r="26" spans="1:7" ht="15.75">
      <c r="A26" s="28" t="s">
        <v>39</v>
      </c>
      <c r="B26" s="28"/>
      <c r="C26" s="28"/>
      <c r="D26" s="28"/>
      <c r="E26" s="28"/>
      <c r="F26" s="28"/>
      <c r="G26" s="29">
        <f>2*352</f>
        <v>704</v>
      </c>
    </row>
    <row r="27" spans="1:7" ht="15.75" hidden="1">
      <c r="A27" s="28" t="s">
        <v>40</v>
      </c>
      <c r="B27" s="28"/>
      <c r="C27" s="28"/>
      <c r="D27" s="28"/>
      <c r="E27" s="28"/>
      <c r="F27" s="28"/>
      <c r="G27" s="29">
        <v>0</v>
      </c>
    </row>
    <row r="28" spans="1:7" ht="15.75" hidden="1">
      <c r="A28" s="28" t="s">
        <v>41</v>
      </c>
      <c r="B28" s="28"/>
      <c r="C28" s="28"/>
      <c r="D28" s="28"/>
      <c r="E28" s="28"/>
      <c r="F28" s="28"/>
      <c r="G28" s="29">
        <v>0</v>
      </c>
    </row>
    <row r="29" spans="1:7" ht="15.75" hidden="1">
      <c r="A29" s="28" t="s">
        <v>42</v>
      </c>
      <c r="B29" s="28"/>
      <c r="C29" s="28"/>
      <c r="D29" s="28"/>
      <c r="E29" s="28"/>
      <c r="F29" s="28"/>
      <c r="G29" s="29">
        <v>0</v>
      </c>
    </row>
    <row r="30" spans="1:7" ht="15.75">
      <c r="A30" s="28" t="s">
        <v>43</v>
      </c>
      <c r="B30" s="28"/>
      <c r="C30" s="28"/>
      <c r="D30" s="28"/>
      <c r="E30" s="28"/>
      <c r="F30" s="28"/>
      <c r="G30" s="29">
        <f>B3*1.75*4</f>
        <v>1885.7999999999997</v>
      </c>
    </row>
    <row r="31" spans="1:7" ht="15.75" customHeight="1">
      <c r="A31" s="30" t="s">
        <v>44</v>
      </c>
      <c r="B31" s="30"/>
      <c r="C31" s="30"/>
      <c r="D31" s="30"/>
      <c r="E31" s="30"/>
      <c r="F31" s="30"/>
      <c r="G31" s="29">
        <f>(F13*4*8.57)+(B13*2*3.14)+(C13*1*3.14)+(D13*1*3.14)</f>
        <v>75.36</v>
      </c>
    </row>
    <row r="32" spans="1:7" ht="15.75">
      <c r="A32" s="28" t="s">
        <v>45</v>
      </c>
      <c r="B32" s="28"/>
      <c r="C32" s="28"/>
      <c r="D32" s="28"/>
      <c r="E32" s="28"/>
      <c r="F32" s="28"/>
      <c r="G32" s="29">
        <f>B3*0.65*4</f>
        <v>700.4399999999999</v>
      </c>
    </row>
    <row r="33" spans="1:7" ht="15.75">
      <c r="A33" s="28" t="s">
        <v>46</v>
      </c>
      <c r="B33" s="28"/>
      <c r="C33" s="28"/>
      <c r="D33" s="28"/>
      <c r="E33" s="28"/>
      <c r="F33" s="28"/>
      <c r="G33" s="29">
        <f>B3*0.2*4</f>
        <v>215.51999999999998</v>
      </c>
    </row>
    <row r="34" spans="1:7" ht="15.75">
      <c r="A34" s="28" t="s">
        <v>47</v>
      </c>
      <c r="B34" s="28"/>
      <c r="C34" s="28"/>
      <c r="D34" s="28"/>
      <c r="E34" s="28"/>
      <c r="F34" s="28"/>
      <c r="G34" s="29">
        <f>B3*0.7*4</f>
        <v>754.3199999999999</v>
      </c>
    </row>
    <row r="35" spans="1:7" ht="15.75">
      <c r="A35" s="26" t="s">
        <v>48</v>
      </c>
      <c r="B35" s="26"/>
      <c r="C35" s="26"/>
      <c r="D35" s="26"/>
      <c r="E35" s="26"/>
      <c r="F35" s="26"/>
      <c r="G35" s="32">
        <f>G15+G16+G17+G18+G19+G20+G21+G22+G23+G24+G26+G30+G31+G32+G33+G34+G27+G28+G29+G25</f>
        <v>13093.181307597402</v>
      </c>
    </row>
    <row r="36" spans="1:7" ht="20.25" customHeight="1">
      <c r="A36" s="33" t="s">
        <v>49</v>
      </c>
      <c r="B36" s="33"/>
      <c r="C36" s="33"/>
      <c r="D36" s="33"/>
      <c r="E36" s="33"/>
      <c r="F36" s="33"/>
      <c r="G36" s="29"/>
    </row>
    <row r="37" spans="1:7" ht="15.75" hidden="1">
      <c r="A37" s="28" t="s">
        <v>50</v>
      </c>
      <c r="B37" s="28"/>
      <c r="C37" s="28"/>
      <c r="D37" s="28"/>
      <c r="E37" s="28"/>
      <c r="F37" s="28"/>
      <c r="G37" s="29">
        <f>B3*3.47*12</f>
        <v>11217.815999999999</v>
      </c>
    </row>
    <row r="38" spans="1:7" ht="15.75">
      <c r="A38" s="28" t="s">
        <v>51</v>
      </c>
      <c r="B38" s="28"/>
      <c r="C38" s="28"/>
      <c r="D38" s="28"/>
      <c r="E38" s="28"/>
      <c r="F38" s="28"/>
      <c r="G38" s="29"/>
    </row>
    <row r="39" spans="1:7" ht="15.75" hidden="1">
      <c r="A39" s="34" t="s">
        <v>52</v>
      </c>
      <c r="B39" s="34"/>
      <c r="C39" s="34"/>
      <c r="D39" s="34"/>
      <c r="E39" s="34"/>
      <c r="F39" s="34"/>
      <c r="G39" s="29"/>
    </row>
    <row r="40" spans="1:7" ht="15.75" hidden="1">
      <c r="A40" s="34" t="s">
        <v>53</v>
      </c>
      <c r="B40" s="34"/>
      <c r="C40" s="34"/>
      <c r="D40" s="34"/>
      <c r="E40" s="34"/>
      <c r="F40" s="34"/>
      <c r="G40" s="29"/>
    </row>
    <row r="41" spans="1:7" ht="15.75" hidden="1">
      <c r="A41" s="34" t="s">
        <v>54</v>
      </c>
      <c r="B41" s="34"/>
      <c r="C41" s="34"/>
      <c r="D41" s="34"/>
      <c r="E41" s="34"/>
      <c r="F41" s="34"/>
      <c r="G41" s="29"/>
    </row>
    <row r="42" spans="1:7" ht="15.75" hidden="1">
      <c r="A42" s="34" t="s">
        <v>55</v>
      </c>
      <c r="B42" s="34"/>
      <c r="C42" s="34"/>
      <c r="D42" s="34"/>
      <c r="E42" s="34"/>
      <c r="F42" s="34"/>
      <c r="G42" s="29"/>
    </row>
    <row r="43" spans="1:7" ht="15.75" hidden="1">
      <c r="A43" s="34" t="s">
        <v>56</v>
      </c>
      <c r="B43" s="34"/>
      <c r="C43" s="34"/>
      <c r="D43" s="34"/>
      <c r="E43" s="34"/>
      <c r="F43" s="34"/>
      <c r="G43" s="29"/>
    </row>
    <row r="44" spans="1:7" ht="15.75">
      <c r="A44" s="34" t="s">
        <v>57</v>
      </c>
      <c r="B44" s="34"/>
      <c r="C44" s="34"/>
      <c r="D44" s="34"/>
      <c r="E44" s="34"/>
      <c r="F44" s="34"/>
      <c r="G44" s="29">
        <v>36660</v>
      </c>
    </row>
    <row r="45" spans="1:7" ht="15.75">
      <c r="A45" s="34" t="s">
        <v>58</v>
      </c>
      <c r="B45" s="34"/>
      <c r="C45" s="34"/>
      <c r="D45" s="34"/>
      <c r="E45" s="34"/>
      <c r="F45" s="34"/>
      <c r="G45" s="29">
        <v>168</v>
      </c>
    </row>
    <row r="46" spans="1:7" ht="15.75" hidden="1">
      <c r="A46" s="34" t="s">
        <v>59</v>
      </c>
      <c r="B46" s="34"/>
      <c r="C46" s="34"/>
      <c r="D46" s="34"/>
      <c r="E46" s="34"/>
      <c r="F46" s="34"/>
      <c r="G46" s="29"/>
    </row>
    <row r="47" spans="1:7" ht="15.75" hidden="1">
      <c r="A47" s="34" t="s">
        <v>60</v>
      </c>
      <c r="B47" s="34"/>
      <c r="C47" s="34"/>
      <c r="D47" s="34"/>
      <c r="E47" s="34"/>
      <c r="F47" s="34"/>
      <c r="G47" s="29"/>
    </row>
    <row r="48" spans="1:7" ht="15.75" hidden="1">
      <c r="A48" s="34" t="s">
        <v>61</v>
      </c>
      <c r="B48" s="34"/>
      <c r="C48" s="34"/>
      <c r="D48" s="34"/>
      <c r="E48" s="34"/>
      <c r="F48" s="34"/>
      <c r="G48" s="29"/>
    </row>
    <row r="49" spans="1:7" ht="15.75">
      <c r="A49" s="34" t="s">
        <v>62</v>
      </c>
      <c r="B49" s="34"/>
      <c r="C49" s="34"/>
      <c r="D49" s="34"/>
      <c r="E49" s="34"/>
      <c r="F49" s="34"/>
      <c r="G49" s="29">
        <v>2230</v>
      </c>
    </row>
    <row r="50" spans="1:7" ht="15.75">
      <c r="A50" s="34" t="s">
        <v>63</v>
      </c>
      <c r="B50" s="34"/>
      <c r="C50" s="34"/>
      <c r="D50" s="34"/>
      <c r="E50" s="34"/>
      <c r="F50" s="34"/>
      <c r="G50" s="29">
        <v>5480</v>
      </c>
    </row>
    <row r="51" spans="1:7" ht="15.75" hidden="1">
      <c r="A51" s="34" t="s">
        <v>64</v>
      </c>
      <c r="B51" s="34"/>
      <c r="C51" s="34"/>
      <c r="D51" s="34"/>
      <c r="E51" s="34"/>
      <c r="F51" s="34"/>
      <c r="G51" s="29"/>
    </row>
    <row r="52" spans="1:7" ht="15.75" hidden="1">
      <c r="A52" s="34" t="s">
        <v>65</v>
      </c>
      <c r="B52" s="34"/>
      <c r="C52" s="34"/>
      <c r="D52" s="34"/>
      <c r="E52" s="34"/>
      <c r="F52" s="34"/>
      <c r="G52" s="29"/>
    </row>
    <row r="53" spans="1:7" ht="15.75" customHeight="1">
      <c r="A53" s="33" t="s">
        <v>66</v>
      </c>
      <c r="B53" s="33"/>
      <c r="C53" s="33"/>
      <c r="D53" s="33"/>
      <c r="E53" s="33"/>
      <c r="F53" s="33"/>
      <c r="G53" s="32">
        <f>G39+G40+G41+G42+G43+G44+G45+G46+G47+G48+G49+G50+G51+G52</f>
        <v>44538</v>
      </c>
    </row>
    <row r="54" spans="1:7" ht="15.75" customHeight="1">
      <c r="A54" s="33" t="s">
        <v>67</v>
      </c>
      <c r="B54" s="33"/>
      <c r="C54" s="33"/>
      <c r="D54" s="33"/>
      <c r="E54" s="33"/>
      <c r="F54" s="33"/>
      <c r="G54" s="32">
        <f>G35+G53</f>
        <v>57631.181307597406</v>
      </c>
    </row>
    <row r="55" spans="1:7" ht="15.75" hidden="1">
      <c r="A55" s="28" t="s">
        <v>68</v>
      </c>
      <c r="B55" s="28"/>
      <c r="C55" s="28"/>
      <c r="D55" s="28"/>
      <c r="E55" s="28"/>
      <c r="F55" s="28"/>
      <c r="G55" s="29">
        <v>0</v>
      </c>
    </row>
    <row r="56" spans="1:7" ht="15.75">
      <c r="A56" s="41" t="s">
        <v>69</v>
      </c>
      <c r="B56" s="41"/>
      <c r="C56" s="41"/>
      <c r="D56" s="41"/>
      <c r="E56" s="41"/>
      <c r="F56" s="41"/>
      <c r="G56" s="29">
        <f>141.6*4</f>
        <v>566.4</v>
      </c>
    </row>
    <row r="57" spans="1:7" ht="15.75" customHeight="1">
      <c r="A57" s="42" t="s">
        <v>70</v>
      </c>
      <c r="B57" s="42"/>
      <c r="C57" s="42"/>
      <c r="D57" s="42"/>
      <c r="E57" s="42"/>
      <c r="F57" s="42"/>
      <c r="G57" s="32">
        <f>B3*B5*4+G56</f>
        <v>12743.279999999999</v>
      </c>
    </row>
    <row r="58" spans="1:7" ht="15.75" customHeight="1">
      <c r="A58" s="43" t="s">
        <v>71</v>
      </c>
      <c r="B58" s="43"/>
      <c r="C58" s="43"/>
      <c r="D58" s="43"/>
      <c r="E58" s="43"/>
      <c r="F58" s="43"/>
      <c r="G58" s="44">
        <v>2613.33</v>
      </c>
    </row>
    <row r="59" spans="1:7" ht="67.5" customHeight="1">
      <c r="A59" s="33" t="s">
        <v>82</v>
      </c>
      <c r="B59" s="33"/>
      <c r="C59" s="33"/>
      <c r="D59" s="33"/>
      <c r="E59" s="33"/>
      <c r="F59" s="33"/>
      <c r="G59" s="32">
        <f>G54-G57-G55+G58</f>
        <v>47501.23130759741</v>
      </c>
    </row>
  </sheetData>
  <sheetProtection selectLockedCells="1" selectUnlockedCells="1"/>
  <mergeCells count="48">
    <mergeCell ref="A1:G1"/>
    <mergeCell ref="B2:E2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0"/>
  </sheetPr>
  <dimension ref="A1:G59"/>
  <sheetViews>
    <sheetView zoomScale="75" zoomScaleNormal="75" workbookViewId="0" topLeftCell="A22">
      <pane ySplit="65535" topLeftCell="A22" activePane="topLeft" state="split"/>
      <selection pane="topLeft" activeCell="G59" activeCellId="1" sqref="A77:G138 G59"/>
      <selection pane="bottomLeft" activeCell="A22" sqref="A22"/>
    </sheetView>
  </sheetViews>
  <sheetFormatPr defaultColWidth="9.140625" defaultRowHeight="12.75"/>
  <cols>
    <col min="1" max="1" width="23.8515625" style="1" customWidth="1"/>
    <col min="2" max="2" width="11.57421875" style="1" customWidth="1"/>
    <col min="3" max="5" width="9.140625" style="1" customWidth="1"/>
    <col min="6" max="6" width="21.421875" style="1" customWidth="1"/>
    <col min="7" max="7" width="15.28125" style="1" customWidth="1"/>
    <col min="8" max="40" width="9.140625" style="1" customWidth="1"/>
    <col min="41" max="41" width="0" style="1" hidden="1" customWidth="1"/>
    <col min="42" max="44" width="0" style="2" hidden="1" customWidth="1"/>
    <col min="45" max="45" width="0" style="3" hidden="1" customWidth="1"/>
    <col min="46" max="46" width="0" style="4" hidden="1" customWidth="1"/>
    <col min="47" max="47" width="0" style="1" hidden="1" customWidth="1"/>
    <col min="48" max="16384" width="9.140625" style="1" customWidth="1"/>
  </cols>
  <sheetData>
    <row r="1" spans="1:7" ht="39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144</v>
      </c>
      <c r="C2" s="7"/>
      <c r="D2" s="7"/>
      <c r="E2" s="7"/>
      <c r="F2" s="8" t="s">
        <v>3</v>
      </c>
      <c r="G2" s="9">
        <v>2</v>
      </c>
    </row>
    <row r="3" spans="1:7" ht="18.75">
      <c r="A3" s="6" t="s">
        <v>4</v>
      </c>
      <c r="B3" s="10">
        <v>310.5</v>
      </c>
      <c r="F3" s="8" t="s">
        <v>5</v>
      </c>
      <c r="G3" s="11">
        <v>1</v>
      </c>
    </row>
    <row r="4" spans="1:7" ht="18.75">
      <c r="A4" s="12" t="s">
        <v>6</v>
      </c>
      <c r="B4" s="13"/>
      <c r="F4" s="8" t="s">
        <v>8</v>
      </c>
      <c r="G4" s="9">
        <v>1962</v>
      </c>
    </row>
    <row r="5" spans="1:3" ht="16.5" customHeight="1">
      <c r="A5" s="12" t="s">
        <v>6</v>
      </c>
      <c r="B5" s="13">
        <v>10.43</v>
      </c>
      <c r="C5" s="1" t="s">
        <v>9</v>
      </c>
    </row>
    <row r="6" spans="1:7" ht="18.75" hidden="1">
      <c r="A6" s="14" t="s">
        <v>10</v>
      </c>
      <c r="B6" s="15">
        <v>20</v>
      </c>
      <c r="C6" s="16"/>
      <c r="D6" s="16"/>
      <c r="E6" s="16"/>
      <c r="F6" s="16"/>
      <c r="G6" s="16"/>
    </row>
    <row r="7" spans="1:7" ht="18.75" hidden="1">
      <c r="A7" s="14" t="s">
        <v>12</v>
      </c>
      <c r="B7" s="17">
        <v>0</v>
      </c>
      <c r="C7" s="16"/>
      <c r="D7" s="16"/>
      <c r="E7" s="16"/>
      <c r="F7" s="16"/>
      <c r="G7" s="16"/>
    </row>
    <row r="8" spans="1:7" ht="38.25" customHeight="1" hidden="1">
      <c r="A8" s="18" t="s">
        <v>13</v>
      </c>
      <c r="B8" s="19" t="s">
        <v>14</v>
      </c>
      <c r="C8" s="19" t="s">
        <v>15</v>
      </c>
      <c r="D8" s="19" t="s">
        <v>16</v>
      </c>
      <c r="E8" s="19" t="s">
        <v>17</v>
      </c>
      <c r="F8" s="16"/>
      <c r="G8" s="16"/>
    </row>
    <row r="9" spans="1:7" ht="20.25" customHeight="1" hidden="1">
      <c r="A9" s="14"/>
      <c r="B9" s="17">
        <v>246</v>
      </c>
      <c r="C9" s="17">
        <v>1237</v>
      </c>
      <c r="D9" s="17">
        <v>246</v>
      </c>
      <c r="E9" s="17">
        <v>1237</v>
      </c>
      <c r="F9" s="16"/>
      <c r="G9" s="16"/>
    </row>
    <row r="10" spans="1:7" ht="18.75" hidden="1">
      <c r="A10" s="14" t="s">
        <v>18</v>
      </c>
      <c r="B10" s="20">
        <v>0</v>
      </c>
      <c r="C10" s="16"/>
      <c r="D10" s="16"/>
      <c r="E10" s="16"/>
      <c r="F10" s="16"/>
      <c r="G10" s="16"/>
    </row>
    <row r="11" spans="1:7" ht="19.5" hidden="1">
      <c r="A11" s="14" t="s">
        <v>19</v>
      </c>
      <c r="B11" s="20">
        <v>0</v>
      </c>
      <c r="C11" s="20">
        <v>155.3</v>
      </c>
      <c r="D11" s="20">
        <f>B11+C11</f>
        <v>155.3</v>
      </c>
      <c r="E11" s="16"/>
      <c r="F11" s="16"/>
      <c r="G11" s="16"/>
    </row>
    <row r="12" spans="1:7" ht="50.25" customHeight="1" hidden="1">
      <c r="A12" s="14" t="s">
        <v>20</v>
      </c>
      <c r="B12" s="19" t="s">
        <v>21</v>
      </c>
      <c r="C12" s="21" t="s">
        <v>22</v>
      </c>
      <c r="D12" s="19" t="s">
        <v>23</v>
      </c>
      <c r="E12" s="22" t="s">
        <v>24</v>
      </c>
      <c r="F12" s="17" t="s">
        <v>25</v>
      </c>
      <c r="G12" s="16"/>
    </row>
    <row r="13" spans="1:7" ht="23.25" customHeight="1" hidden="1">
      <c r="A13" s="23"/>
      <c r="B13" s="24">
        <v>8</v>
      </c>
      <c r="C13" s="24">
        <v>8</v>
      </c>
      <c r="D13" s="24"/>
      <c r="E13" s="25">
        <f>D13+C13+B13</f>
        <v>16</v>
      </c>
      <c r="F13" s="17"/>
      <c r="G13" s="16"/>
    </row>
    <row r="14" spans="1:7" ht="18.75" customHeight="1">
      <c r="A14" s="26" t="s">
        <v>26</v>
      </c>
      <c r="B14" s="26"/>
      <c r="C14" s="26"/>
      <c r="D14" s="26"/>
      <c r="E14" s="26"/>
      <c r="F14" s="26"/>
      <c r="G14" s="27" t="s">
        <v>27</v>
      </c>
    </row>
    <row r="15" spans="1:7" ht="15.75">
      <c r="A15" s="28" t="s">
        <v>28</v>
      </c>
      <c r="B15" s="28"/>
      <c r="C15" s="28"/>
      <c r="D15" s="28"/>
      <c r="E15" s="28"/>
      <c r="F15" s="28"/>
      <c r="G15" s="29">
        <f>B6*8.689*4</f>
        <v>695.12</v>
      </c>
    </row>
    <row r="16" spans="1:7" ht="15.75" hidden="1">
      <c r="A16" s="28" t="s">
        <v>29</v>
      </c>
      <c r="B16" s="28"/>
      <c r="C16" s="28"/>
      <c r="D16" s="28"/>
      <c r="E16" s="28"/>
      <c r="F16" s="28"/>
      <c r="G16" s="29">
        <f>B7*19.03*12</f>
        <v>0</v>
      </c>
    </row>
    <row r="17" spans="1:7" ht="15.75" hidden="1">
      <c r="A17" s="28" t="s">
        <v>30</v>
      </c>
      <c r="B17" s="28"/>
      <c r="C17" s="28"/>
      <c r="D17" s="28"/>
      <c r="E17" s="28"/>
      <c r="F17" s="28"/>
      <c r="G17" s="29">
        <f>B10*0.4523*12</f>
        <v>0</v>
      </c>
    </row>
    <row r="18" spans="1:7" ht="15.75">
      <c r="A18" s="28" t="s">
        <v>31</v>
      </c>
      <c r="B18" s="28"/>
      <c r="C18" s="28"/>
      <c r="D18" s="28"/>
      <c r="E18" s="28"/>
      <c r="F18" s="28"/>
      <c r="G18" s="29">
        <f>(B9*12.84/100*64)+(C9*9.63/100*38)+(D9*32.11/100*26)+(E9*2.41/100*5)</f>
        <v>8751.021499999999</v>
      </c>
    </row>
    <row r="19" spans="1:7" ht="15.75" customHeight="1">
      <c r="A19" s="30" t="s">
        <v>32</v>
      </c>
      <c r="B19" s="30"/>
      <c r="C19" s="30"/>
      <c r="D19" s="30"/>
      <c r="E19" s="30"/>
      <c r="F19" s="30"/>
      <c r="G19" s="31">
        <f>574906.73/199064.79*B3</f>
        <v>896.735880137316</v>
      </c>
    </row>
    <row r="20" spans="1:7" ht="15.75">
      <c r="A20" s="28" t="s">
        <v>33</v>
      </c>
      <c r="B20" s="28"/>
      <c r="C20" s="28"/>
      <c r="D20" s="28"/>
      <c r="E20" s="28"/>
      <c r="F20" s="28"/>
      <c r="G20" s="29">
        <f>D11*0.14*2</f>
        <v>43.48400000000001</v>
      </c>
    </row>
    <row r="21" spans="1:7" ht="15.75" hidden="1">
      <c r="A21" s="28" t="s">
        <v>34</v>
      </c>
      <c r="B21" s="28"/>
      <c r="C21" s="28"/>
      <c r="D21" s="28"/>
      <c r="E21" s="28"/>
      <c r="F21" s="28"/>
      <c r="G21" s="29">
        <v>0</v>
      </c>
    </row>
    <row r="22" spans="1:7" ht="15.75">
      <c r="A22" s="28" t="s">
        <v>35</v>
      </c>
      <c r="B22" s="28"/>
      <c r="C22" s="28"/>
      <c r="D22" s="28"/>
      <c r="E22" s="28"/>
      <c r="F22" s="28"/>
      <c r="G22" s="29">
        <f>B3*0.845*4</f>
        <v>1049.49</v>
      </c>
    </row>
    <row r="23" spans="1:7" ht="15.75" hidden="1">
      <c r="A23" s="28" t="s">
        <v>36</v>
      </c>
      <c r="B23" s="28"/>
      <c r="C23" s="28"/>
      <c r="D23" s="28"/>
      <c r="E23" s="28"/>
      <c r="F23" s="28"/>
      <c r="G23" s="29">
        <v>0</v>
      </c>
    </row>
    <row r="24" spans="1:7" ht="15.75" hidden="1">
      <c r="A24" s="28" t="s">
        <v>37</v>
      </c>
      <c r="B24" s="28"/>
      <c r="C24" s="28"/>
      <c r="D24" s="28"/>
      <c r="E24" s="28"/>
      <c r="F24" s="28"/>
      <c r="G24" s="29">
        <v>0</v>
      </c>
    </row>
    <row r="25" spans="1:7" ht="15.75" hidden="1">
      <c r="A25" s="28" t="s">
        <v>38</v>
      </c>
      <c r="B25" s="28"/>
      <c r="C25" s="28"/>
      <c r="D25" s="28"/>
      <c r="E25" s="28"/>
      <c r="F25" s="28"/>
      <c r="G25" s="29">
        <v>0</v>
      </c>
    </row>
    <row r="26" spans="1:7" ht="15.75">
      <c r="A26" s="28" t="s">
        <v>39</v>
      </c>
      <c r="B26" s="28"/>
      <c r="C26" s="28"/>
      <c r="D26" s="28"/>
      <c r="E26" s="28"/>
      <c r="F26" s="28"/>
      <c r="G26" s="29">
        <f>4*352</f>
        <v>1408</v>
      </c>
    </row>
    <row r="27" spans="1:7" ht="15.75" hidden="1">
      <c r="A27" s="28" t="s">
        <v>40</v>
      </c>
      <c r="B27" s="28"/>
      <c r="C27" s="28"/>
      <c r="D27" s="28"/>
      <c r="E27" s="28"/>
      <c r="F27" s="28"/>
      <c r="G27" s="29">
        <v>0</v>
      </c>
    </row>
    <row r="28" spans="1:7" ht="15.75" hidden="1">
      <c r="A28" s="28" t="s">
        <v>41</v>
      </c>
      <c r="B28" s="28"/>
      <c r="C28" s="28"/>
      <c r="D28" s="28"/>
      <c r="E28" s="28"/>
      <c r="F28" s="28"/>
      <c r="G28" s="29">
        <v>0</v>
      </c>
    </row>
    <row r="29" spans="1:7" ht="15.75" hidden="1">
      <c r="A29" s="28" t="s">
        <v>42</v>
      </c>
      <c r="B29" s="28"/>
      <c r="C29" s="28"/>
      <c r="D29" s="28"/>
      <c r="E29" s="28"/>
      <c r="F29" s="28"/>
      <c r="G29" s="29">
        <v>0</v>
      </c>
    </row>
    <row r="30" spans="1:7" ht="15.75">
      <c r="A30" s="28" t="s">
        <v>43</v>
      </c>
      <c r="B30" s="28"/>
      <c r="C30" s="28"/>
      <c r="D30" s="28"/>
      <c r="E30" s="28"/>
      <c r="F30" s="28"/>
      <c r="G30" s="29">
        <f>B3*1.75*4</f>
        <v>2173.5</v>
      </c>
    </row>
    <row r="31" spans="1:7" ht="15.75" customHeight="1">
      <c r="A31" s="30" t="s">
        <v>44</v>
      </c>
      <c r="B31" s="30"/>
      <c r="C31" s="30"/>
      <c r="D31" s="30"/>
      <c r="E31" s="30"/>
      <c r="F31" s="30"/>
      <c r="G31" s="29">
        <f>(F13*4*8.57)+(B13*2*3.14)+(C13*1*3.14)+(D13*1*3.14)</f>
        <v>75.36</v>
      </c>
    </row>
    <row r="32" spans="1:7" ht="15.75">
      <c r="A32" s="28" t="s">
        <v>45</v>
      </c>
      <c r="B32" s="28"/>
      <c r="C32" s="28"/>
      <c r="D32" s="28"/>
      <c r="E32" s="28"/>
      <c r="F32" s="28"/>
      <c r="G32" s="29">
        <f>B3*0.65*4</f>
        <v>807.3000000000001</v>
      </c>
    </row>
    <row r="33" spans="1:7" ht="15.75">
      <c r="A33" s="28" t="s">
        <v>46</v>
      </c>
      <c r="B33" s="28"/>
      <c r="C33" s="28"/>
      <c r="D33" s="28"/>
      <c r="E33" s="28"/>
      <c r="F33" s="28"/>
      <c r="G33" s="29">
        <f>B3*0.2*4</f>
        <v>248.4</v>
      </c>
    </row>
    <row r="34" spans="1:7" ht="15.75">
      <c r="A34" s="28" t="s">
        <v>47</v>
      </c>
      <c r="B34" s="28"/>
      <c r="C34" s="28"/>
      <c r="D34" s="28"/>
      <c r="E34" s="28"/>
      <c r="F34" s="28"/>
      <c r="G34" s="29">
        <f>B3*0.7*4</f>
        <v>869.4</v>
      </c>
    </row>
    <row r="35" spans="1:7" ht="15.75">
      <c r="A35" s="26" t="s">
        <v>48</v>
      </c>
      <c r="B35" s="26"/>
      <c r="C35" s="26"/>
      <c r="D35" s="26"/>
      <c r="E35" s="26"/>
      <c r="F35" s="26"/>
      <c r="G35" s="32">
        <f>G15+G16+G17+G18+G19+G20+G21+G22+G23+G24+G26+G30+G31+G32+G33+G34+G27+G28+G29+G25</f>
        <v>17017.811380137315</v>
      </c>
    </row>
    <row r="36" spans="1:7" ht="20.25" customHeight="1">
      <c r="A36" s="33" t="s">
        <v>49</v>
      </c>
      <c r="B36" s="33"/>
      <c r="C36" s="33"/>
      <c r="D36" s="33"/>
      <c r="E36" s="33"/>
      <c r="F36" s="33"/>
      <c r="G36" s="29"/>
    </row>
    <row r="37" spans="1:7" ht="15.75" hidden="1">
      <c r="A37" s="28" t="s">
        <v>50</v>
      </c>
      <c r="B37" s="28"/>
      <c r="C37" s="28"/>
      <c r="D37" s="28"/>
      <c r="E37" s="28"/>
      <c r="F37" s="28"/>
      <c r="G37" s="29">
        <f>B3*3.47*12</f>
        <v>12929.220000000001</v>
      </c>
    </row>
    <row r="38" spans="1:7" ht="15.75">
      <c r="A38" s="28" t="s">
        <v>51</v>
      </c>
      <c r="B38" s="28"/>
      <c r="C38" s="28"/>
      <c r="D38" s="28"/>
      <c r="E38" s="28"/>
      <c r="F38" s="28"/>
      <c r="G38" s="29"/>
    </row>
    <row r="39" spans="1:7" ht="15.75" hidden="1">
      <c r="A39" s="34" t="s">
        <v>52</v>
      </c>
      <c r="B39" s="34"/>
      <c r="C39" s="34"/>
      <c r="D39" s="34"/>
      <c r="E39" s="34"/>
      <c r="F39" s="34"/>
      <c r="G39" s="29"/>
    </row>
    <row r="40" spans="1:7" ht="15.75" hidden="1">
      <c r="A40" s="34" t="s">
        <v>53</v>
      </c>
      <c r="B40" s="34"/>
      <c r="C40" s="34"/>
      <c r="D40" s="34"/>
      <c r="E40" s="34"/>
      <c r="F40" s="34"/>
      <c r="G40" s="29"/>
    </row>
    <row r="41" spans="1:7" ht="15.75" hidden="1">
      <c r="A41" s="34" t="s">
        <v>54</v>
      </c>
      <c r="B41" s="34"/>
      <c r="C41" s="34"/>
      <c r="D41" s="34"/>
      <c r="E41" s="34"/>
      <c r="F41" s="34"/>
      <c r="G41" s="29"/>
    </row>
    <row r="42" spans="1:7" ht="15.75" hidden="1">
      <c r="A42" s="34" t="s">
        <v>55</v>
      </c>
      <c r="B42" s="34"/>
      <c r="C42" s="34"/>
      <c r="D42" s="34"/>
      <c r="E42" s="34"/>
      <c r="F42" s="34"/>
      <c r="G42" s="29"/>
    </row>
    <row r="43" spans="1:7" ht="15.75" hidden="1">
      <c r="A43" s="34" t="s">
        <v>56</v>
      </c>
      <c r="B43" s="34"/>
      <c r="C43" s="34"/>
      <c r="D43" s="34"/>
      <c r="E43" s="34"/>
      <c r="F43" s="34"/>
      <c r="G43" s="29"/>
    </row>
    <row r="44" spans="1:7" ht="15.75" hidden="1">
      <c r="A44" s="34" t="s">
        <v>57</v>
      </c>
      <c r="B44" s="34"/>
      <c r="C44" s="34"/>
      <c r="D44" s="34"/>
      <c r="E44" s="34"/>
      <c r="F44" s="34"/>
      <c r="G44" s="29"/>
    </row>
    <row r="45" spans="1:7" ht="15.75">
      <c r="A45" s="34" t="s">
        <v>58</v>
      </c>
      <c r="B45" s="34"/>
      <c r="C45" s="34"/>
      <c r="D45" s="34"/>
      <c r="E45" s="34"/>
      <c r="F45" s="34"/>
      <c r="G45" s="29">
        <v>168</v>
      </c>
    </row>
    <row r="46" spans="1:7" ht="15.75" hidden="1">
      <c r="A46" s="34" t="s">
        <v>59</v>
      </c>
      <c r="B46" s="34"/>
      <c r="C46" s="34"/>
      <c r="D46" s="34"/>
      <c r="E46" s="34"/>
      <c r="F46" s="34"/>
      <c r="G46" s="29"/>
    </row>
    <row r="47" spans="1:7" ht="15.75" hidden="1">
      <c r="A47" s="34" t="s">
        <v>60</v>
      </c>
      <c r="B47" s="34"/>
      <c r="C47" s="34"/>
      <c r="D47" s="34"/>
      <c r="E47" s="34"/>
      <c r="F47" s="34"/>
      <c r="G47" s="29"/>
    </row>
    <row r="48" spans="1:7" ht="15.75" hidden="1">
      <c r="A48" s="34" t="s">
        <v>61</v>
      </c>
      <c r="B48" s="34"/>
      <c r="C48" s="34"/>
      <c r="D48" s="34"/>
      <c r="E48" s="34"/>
      <c r="F48" s="34"/>
      <c r="G48" s="29"/>
    </row>
    <row r="49" spans="1:7" ht="15.75" hidden="1">
      <c r="A49" s="34" t="s">
        <v>62</v>
      </c>
      <c r="B49" s="34"/>
      <c r="C49" s="34"/>
      <c r="D49" s="34"/>
      <c r="E49" s="34"/>
      <c r="F49" s="34"/>
      <c r="G49" s="29"/>
    </row>
    <row r="50" spans="1:7" ht="15.75">
      <c r="A50" s="34" t="s">
        <v>63</v>
      </c>
      <c r="B50" s="34"/>
      <c r="C50" s="34"/>
      <c r="D50" s="34"/>
      <c r="E50" s="34"/>
      <c r="F50" s="34"/>
      <c r="G50" s="29">
        <v>1230</v>
      </c>
    </row>
    <row r="51" spans="1:7" ht="15.75" hidden="1">
      <c r="A51" s="34" t="s">
        <v>64</v>
      </c>
      <c r="B51" s="34"/>
      <c r="C51" s="34"/>
      <c r="D51" s="34"/>
      <c r="E51" s="34"/>
      <c r="F51" s="34"/>
      <c r="G51" s="29"/>
    </row>
    <row r="52" spans="1:7" ht="15.75" hidden="1">
      <c r="A52" s="34" t="s">
        <v>65</v>
      </c>
      <c r="B52" s="34"/>
      <c r="C52" s="34"/>
      <c r="D52" s="34"/>
      <c r="E52" s="34"/>
      <c r="F52" s="34"/>
      <c r="G52" s="29"/>
    </row>
    <row r="53" spans="1:7" ht="15.75" customHeight="1">
      <c r="A53" s="33" t="s">
        <v>66</v>
      </c>
      <c r="B53" s="33"/>
      <c r="C53" s="33"/>
      <c r="D53" s="33"/>
      <c r="E53" s="33"/>
      <c r="F53" s="33"/>
      <c r="G53" s="32">
        <f>G39+G40+G41+G42+G43+G44+G45+G46+G47+G48+G49+G50+G51+G52</f>
        <v>1398</v>
      </c>
    </row>
    <row r="54" spans="1:7" ht="15.75" customHeight="1">
      <c r="A54" s="33" t="s">
        <v>67</v>
      </c>
      <c r="B54" s="33"/>
      <c r="C54" s="33"/>
      <c r="D54" s="33"/>
      <c r="E54" s="33"/>
      <c r="F54" s="33"/>
      <c r="G54" s="32">
        <f>G35+G53</f>
        <v>18415.811380137315</v>
      </c>
    </row>
    <row r="55" spans="1:7" ht="15.75">
      <c r="A55" s="28" t="s">
        <v>68</v>
      </c>
      <c r="B55" s="28"/>
      <c r="C55" s="28"/>
      <c r="D55" s="28"/>
      <c r="E55" s="28"/>
      <c r="F55" s="28"/>
      <c r="G55" s="29">
        <v>-1274.1</v>
      </c>
    </row>
    <row r="56" spans="1:7" s="1" customFormat="1" ht="15.75">
      <c r="A56" s="41" t="s">
        <v>69</v>
      </c>
      <c r="B56" s="41"/>
      <c r="C56" s="41"/>
      <c r="D56" s="41"/>
      <c r="E56" s="41"/>
      <c r="F56" s="41"/>
      <c r="G56" s="29">
        <f>141.6*4</f>
        <v>566.4</v>
      </c>
    </row>
    <row r="57" spans="1:7" ht="15.75" customHeight="1">
      <c r="A57" s="42" t="s">
        <v>70</v>
      </c>
      <c r="B57" s="42"/>
      <c r="C57" s="42"/>
      <c r="D57" s="42"/>
      <c r="E57" s="42"/>
      <c r="F57" s="42"/>
      <c r="G57" s="32">
        <f>B3*B5*4</f>
        <v>12954.06</v>
      </c>
    </row>
    <row r="58" spans="1:7" ht="15.75" customHeight="1">
      <c r="A58" s="43" t="s">
        <v>71</v>
      </c>
      <c r="B58" s="43"/>
      <c r="C58" s="43"/>
      <c r="D58" s="43"/>
      <c r="E58" s="43"/>
      <c r="F58" s="43"/>
      <c r="G58" s="44">
        <v>8239.63</v>
      </c>
    </row>
    <row r="59" spans="1:7" ht="59.25" customHeight="1">
      <c r="A59" s="33" t="s">
        <v>145</v>
      </c>
      <c r="B59" s="33"/>
      <c r="C59" s="33"/>
      <c r="D59" s="33"/>
      <c r="E59" s="33"/>
      <c r="F59" s="33"/>
      <c r="G59" s="32">
        <f>G54-G57-G55+G58</f>
        <v>14975.481380137315</v>
      </c>
    </row>
  </sheetData>
  <sheetProtection selectLockedCells="1" selectUnlockedCells="1"/>
  <mergeCells count="48">
    <mergeCell ref="A1:G1"/>
    <mergeCell ref="B2:E2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40"/>
  </sheetPr>
  <dimension ref="A1:G59"/>
  <sheetViews>
    <sheetView zoomScale="75" zoomScaleNormal="75" workbookViewId="0" topLeftCell="A2">
      <pane ySplit="65535" topLeftCell="A2" activePane="topLeft" state="split"/>
      <selection pane="topLeft" activeCell="B68" activeCellId="1" sqref="A77:G138 B68"/>
      <selection pane="bottomLeft" activeCell="A2" sqref="A2"/>
    </sheetView>
  </sheetViews>
  <sheetFormatPr defaultColWidth="9.140625" defaultRowHeight="12.75"/>
  <cols>
    <col min="1" max="1" width="23.8515625" style="1" customWidth="1"/>
    <col min="2" max="2" width="11.57421875" style="1" customWidth="1"/>
    <col min="3" max="5" width="9.140625" style="1" customWidth="1"/>
    <col min="6" max="6" width="21.421875" style="1" customWidth="1"/>
    <col min="7" max="7" width="15.00390625" style="1" customWidth="1"/>
    <col min="8" max="40" width="9.140625" style="1" customWidth="1"/>
    <col min="41" max="41" width="0" style="1" hidden="1" customWidth="1"/>
    <col min="42" max="44" width="0" style="2" hidden="1" customWidth="1"/>
    <col min="45" max="45" width="0" style="3" hidden="1" customWidth="1"/>
    <col min="46" max="46" width="0" style="4" hidden="1" customWidth="1"/>
    <col min="47" max="47" width="0" style="1" hidden="1" customWidth="1"/>
    <col min="48" max="16384" width="9.140625" style="1" customWidth="1"/>
  </cols>
  <sheetData>
    <row r="1" spans="1:7" ht="39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146</v>
      </c>
      <c r="C2" s="7"/>
      <c r="D2" s="7"/>
      <c r="E2" s="7"/>
      <c r="F2" s="8" t="s">
        <v>3</v>
      </c>
      <c r="G2" s="9">
        <v>2</v>
      </c>
    </row>
    <row r="3" spans="1:7" ht="18.75">
      <c r="A3" s="6" t="s">
        <v>4</v>
      </c>
      <c r="B3" s="10">
        <v>317</v>
      </c>
      <c r="F3" s="8" t="s">
        <v>5</v>
      </c>
      <c r="G3" s="11">
        <v>1</v>
      </c>
    </row>
    <row r="4" spans="1:7" ht="18.75">
      <c r="A4" s="12" t="s">
        <v>6</v>
      </c>
      <c r="B4" s="13"/>
      <c r="F4" s="8" t="s">
        <v>8</v>
      </c>
      <c r="G4" s="9">
        <v>1964</v>
      </c>
    </row>
    <row r="5" spans="1:3" ht="16.5" customHeight="1">
      <c r="A5" s="12" t="s">
        <v>6</v>
      </c>
      <c r="B5" s="13">
        <v>11.3</v>
      </c>
      <c r="C5" s="1" t="s">
        <v>9</v>
      </c>
    </row>
    <row r="6" spans="1:7" ht="18.75" hidden="1">
      <c r="A6" s="14" t="s">
        <v>10</v>
      </c>
      <c r="B6" s="15">
        <v>20</v>
      </c>
      <c r="C6" s="16"/>
      <c r="D6" s="16"/>
      <c r="E6" s="16"/>
      <c r="F6" s="16"/>
      <c r="G6" s="16"/>
    </row>
    <row r="7" spans="1:7" ht="18.75" hidden="1">
      <c r="A7" s="14" t="s">
        <v>12</v>
      </c>
      <c r="B7" s="17">
        <v>0</v>
      </c>
      <c r="C7" s="16"/>
      <c r="D7" s="16"/>
      <c r="E7" s="16"/>
      <c r="F7" s="16"/>
      <c r="G7" s="16"/>
    </row>
    <row r="8" spans="1:7" ht="38.25" customHeight="1" hidden="1">
      <c r="A8" s="18" t="s">
        <v>13</v>
      </c>
      <c r="B8" s="19" t="s">
        <v>14</v>
      </c>
      <c r="C8" s="19" t="s">
        <v>15</v>
      </c>
      <c r="D8" s="19" t="s">
        <v>16</v>
      </c>
      <c r="E8" s="19" t="s">
        <v>17</v>
      </c>
      <c r="F8" s="16"/>
      <c r="G8" s="16"/>
    </row>
    <row r="9" spans="1:7" ht="20.25" customHeight="1" hidden="1">
      <c r="A9" s="14"/>
      <c r="B9" s="17">
        <v>228</v>
      </c>
      <c r="C9" s="17">
        <v>1367</v>
      </c>
      <c r="D9" s="17">
        <v>228</v>
      </c>
      <c r="E9" s="17">
        <v>1367</v>
      </c>
      <c r="F9" s="16"/>
      <c r="G9" s="16"/>
    </row>
    <row r="10" spans="1:7" ht="18.75" hidden="1">
      <c r="A10" s="14" t="s">
        <v>18</v>
      </c>
      <c r="B10" s="20">
        <v>0</v>
      </c>
      <c r="C10" s="16"/>
      <c r="D10" s="16"/>
      <c r="E10" s="16"/>
      <c r="F10" s="16"/>
      <c r="G10" s="16"/>
    </row>
    <row r="11" spans="1:7" ht="19.5" hidden="1">
      <c r="A11" s="14" t="s">
        <v>19</v>
      </c>
      <c r="B11" s="20">
        <v>0</v>
      </c>
      <c r="C11" s="20">
        <v>158.5</v>
      </c>
      <c r="D11" s="20">
        <f>B11+C11</f>
        <v>158.5</v>
      </c>
      <c r="E11" s="16"/>
      <c r="F11" s="16"/>
      <c r="G11" s="16"/>
    </row>
    <row r="12" spans="1:7" ht="50.25" customHeight="1" hidden="1">
      <c r="A12" s="14" t="s">
        <v>20</v>
      </c>
      <c r="B12" s="19" t="s">
        <v>21</v>
      </c>
      <c r="C12" s="21" t="s">
        <v>22</v>
      </c>
      <c r="D12" s="19" t="s">
        <v>23</v>
      </c>
      <c r="E12" s="22" t="s">
        <v>24</v>
      </c>
      <c r="F12" s="17" t="s">
        <v>25</v>
      </c>
      <c r="G12" s="16"/>
    </row>
    <row r="13" spans="1:7" ht="23.25" customHeight="1" hidden="1">
      <c r="A13" s="23"/>
      <c r="B13" s="24">
        <v>8</v>
      </c>
      <c r="C13" s="24">
        <v>8</v>
      </c>
      <c r="D13" s="24"/>
      <c r="E13" s="25">
        <f>D13+C13+B13</f>
        <v>16</v>
      </c>
      <c r="F13" s="17"/>
      <c r="G13" s="16"/>
    </row>
    <row r="14" spans="1:7" ht="18.75" customHeight="1">
      <c r="A14" s="26" t="s">
        <v>26</v>
      </c>
      <c r="B14" s="26"/>
      <c r="C14" s="26"/>
      <c r="D14" s="26"/>
      <c r="E14" s="26"/>
      <c r="F14" s="26"/>
      <c r="G14" s="27" t="s">
        <v>27</v>
      </c>
    </row>
    <row r="15" spans="1:7" ht="15.75">
      <c r="A15" s="28" t="s">
        <v>28</v>
      </c>
      <c r="B15" s="28"/>
      <c r="C15" s="28"/>
      <c r="D15" s="28"/>
      <c r="E15" s="28"/>
      <c r="F15" s="28"/>
      <c r="G15" s="29">
        <f>B6*8.689*4</f>
        <v>695.12</v>
      </c>
    </row>
    <row r="16" spans="1:7" ht="15.75" hidden="1">
      <c r="A16" s="28" t="s">
        <v>29</v>
      </c>
      <c r="B16" s="28"/>
      <c r="C16" s="28"/>
      <c r="D16" s="28"/>
      <c r="E16" s="28"/>
      <c r="F16" s="28"/>
      <c r="G16" s="29">
        <f>B7*19.03*12</f>
        <v>0</v>
      </c>
    </row>
    <row r="17" spans="1:7" ht="15.75" hidden="1">
      <c r="A17" s="28" t="s">
        <v>30</v>
      </c>
      <c r="B17" s="28"/>
      <c r="C17" s="28"/>
      <c r="D17" s="28"/>
      <c r="E17" s="28"/>
      <c r="F17" s="28"/>
      <c r="G17" s="29">
        <f>B10*0.4523*12</f>
        <v>0</v>
      </c>
    </row>
    <row r="18" spans="1:7" ht="15.75">
      <c r="A18" s="28" t="s">
        <v>31</v>
      </c>
      <c r="B18" s="28"/>
      <c r="C18" s="28"/>
      <c r="D18" s="28"/>
      <c r="E18" s="28"/>
      <c r="F18" s="28"/>
      <c r="G18" s="29">
        <f>(B9*12.84/100*64)+(C9*9.63/100*38)+(D9*32.11/100*26)+(E9*2.41/100*5)</f>
        <v>8944.2169</v>
      </c>
    </row>
    <row r="19" spans="1:7" ht="15.75" customHeight="1">
      <c r="A19" s="30" t="s">
        <v>32</v>
      </c>
      <c r="B19" s="30"/>
      <c r="C19" s="30"/>
      <c r="D19" s="30"/>
      <c r="E19" s="30"/>
      <c r="F19" s="30"/>
      <c r="G19" s="31">
        <f>574906.73/199064.79*B3</f>
        <v>915.5081288358427</v>
      </c>
    </row>
    <row r="20" spans="1:7" ht="15.75">
      <c r="A20" s="28" t="s">
        <v>33</v>
      </c>
      <c r="B20" s="28"/>
      <c r="C20" s="28"/>
      <c r="D20" s="28"/>
      <c r="E20" s="28"/>
      <c r="F20" s="28"/>
      <c r="G20" s="29">
        <f>D11*0.14*2</f>
        <v>44.38</v>
      </c>
    </row>
    <row r="21" spans="1:7" ht="15.75" hidden="1">
      <c r="A21" s="28" t="s">
        <v>34</v>
      </c>
      <c r="B21" s="28"/>
      <c r="C21" s="28"/>
      <c r="D21" s="28"/>
      <c r="E21" s="28"/>
      <c r="F21" s="28"/>
      <c r="G21" s="29">
        <v>0</v>
      </c>
    </row>
    <row r="22" spans="1:7" ht="15.75">
      <c r="A22" s="28" t="s">
        <v>35</v>
      </c>
      <c r="B22" s="28"/>
      <c r="C22" s="28"/>
      <c r="D22" s="28"/>
      <c r="E22" s="28"/>
      <c r="F22" s="28"/>
      <c r="G22" s="29">
        <f>B3*0.845*4</f>
        <v>1071.46</v>
      </c>
    </row>
    <row r="23" spans="1:7" ht="15.75" hidden="1">
      <c r="A23" s="28" t="s">
        <v>36</v>
      </c>
      <c r="B23" s="28"/>
      <c r="C23" s="28"/>
      <c r="D23" s="28"/>
      <c r="E23" s="28"/>
      <c r="F23" s="28"/>
      <c r="G23" s="29">
        <v>0</v>
      </c>
    </row>
    <row r="24" spans="1:7" ht="15.75" hidden="1">
      <c r="A24" s="28" t="s">
        <v>37</v>
      </c>
      <c r="B24" s="28"/>
      <c r="C24" s="28"/>
      <c r="D24" s="28"/>
      <c r="E24" s="28"/>
      <c r="F24" s="28"/>
      <c r="G24" s="29">
        <v>0</v>
      </c>
    </row>
    <row r="25" spans="1:7" ht="15.75" hidden="1">
      <c r="A25" s="28" t="s">
        <v>38</v>
      </c>
      <c r="B25" s="28"/>
      <c r="C25" s="28"/>
      <c r="D25" s="28"/>
      <c r="E25" s="28"/>
      <c r="F25" s="28"/>
      <c r="G25" s="29">
        <v>0</v>
      </c>
    </row>
    <row r="26" spans="1:7" ht="15.75" hidden="1">
      <c r="A26" s="28" t="s">
        <v>39</v>
      </c>
      <c r="B26" s="28"/>
      <c r="C26" s="28"/>
      <c r="D26" s="28"/>
      <c r="E26" s="28"/>
      <c r="F26" s="28"/>
      <c r="G26" s="29">
        <v>0</v>
      </c>
    </row>
    <row r="27" spans="1:7" ht="15.75" hidden="1">
      <c r="A27" s="28" t="s">
        <v>40</v>
      </c>
      <c r="B27" s="28"/>
      <c r="C27" s="28"/>
      <c r="D27" s="28"/>
      <c r="E27" s="28"/>
      <c r="F27" s="28"/>
      <c r="G27" s="29">
        <v>0</v>
      </c>
    </row>
    <row r="28" spans="1:7" ht="15.75" hidden="1">
      <c r="A28" s="28" t="s">
        <v>41</v>
      </c>
      <c r="B28" s="28"/>
      <c r="C28" s="28"/>
      <c r="D28" s="28"/>
      <c r="E28" s="28"/>
      <c r="F28" s="28"/>
      <c r="G28" s="29">
        <v>0</v>
      </c>
    </row>
    <row r="29" spans="1:7" ht="15.75" hidden="1">
      <c r="A29" s="28" t="s">
        <v>42</v>
      </c>
      <c r="B29" s="28"/>
      <c r="C29" s="28"/>
      <c r="D29" s="28"/>
      <c r="E29" s="28"/>
      <c r="F29" s="28"/>
      <c r="G29" s="29">
        <v>0</v>
      </c>
    </row>
    <row r="30" spans="1:7" ht="15.75">
      <c r="A30" s="28" t="s">
        <v>43</v>
      </c>
      <c r="B30" s="28"/>
      <c r="C30" s="28"/>
      <c r="D30" s="28"/>
      <c r="E30" s="28"/>
      <c r="F30" s="28"/>
      <c r="G30" s="29">
        <f>B3*1.75*4</f>
        <v>2219</v>
      </c>
    </row>
    <row r="31" spans="1:7" ht="15.75" customHeight="1">
      <c r="A31" s="30" t="s">
        <v>44</v>
      </c>
      <c r="B31" s="30"/>
      <c r="C31" s="30"/>
      <c r="D31" s="30"/>
      <c r="E31" s="30"/>
      <c r="F31" s="30"/>
      <c r="G31" s="29">
        <f>(F13*4*8.57)+(B13*2*3.14)+(C13*1*3.14)+(D13*1*3.14)</f>
        <v>75.36</v>
      </c>
    </row>
    <row r="32" spans="1:7" ht="15.75">
      <c r="A32" s="28" t="s">
        <v>45</v>
      </c>
      <c r="B32" s="28"/>
      <c r="C32" s="28"/>
      <c r="D32" s="28"/>
      <c r="E32" s="28"/>
      <c r="F32" s="28"/>
      <c r="G32" s="29">
        <f>B3*0.65*4</f>
        <v>824.2</v>
      </c>
    </row>
    <row r="33" spans="1:7" ht="15.75">
      <c r="A33" s="28" t="s">
        <v>46</v>
      </c>
      <c r="B33" s="28"/>
      <c r="C33" s="28"/>
      <c r="D33" s="28"/>
      <c r="E33" s="28"/>
      <c r="F33" s="28"/>
      <c r="G33" s="29">
        <f>B3*0.2*4</f>
        <v>253.60000000000002</v>
      </c>
    </row>
    <row r="34" spans="1:7" ht="15.75">
      <c r="A34" s="28" t="s">
        <v>47</v>
      </c>
      <c r="B34" s="28"/>
      <c r="C34" s="28"/>
      <c r="D34" s="28"/>
      <c r="E34" s="28"/>
      <c r="F34" s="28"/>
      <c r="G34" s="29">
        <f>B3*0.7*4</f>
        <v>887.5999999999999</v>
      </c>
    </row>
    <row r="35" spans="1:7" ht="15.75">
      <c r="A35" s="26" t="s">
        <v>48</v>
      </c>
      <c r="B35" s="26"/>
      <c r="C35" s="26"/>
      <c r="D35" s="26"/>
      <c r="E35" s="26"/>
      <c r="F35" s="26"/>
      <c r="G35" s="32">
        <f>G15+G16+G17+G18+G19+G20+G21+G22+G23+G24+G26+G30+G31+G32+G33+G34+G27+G28+G29+G25</f>
        <v>15930.445028835846</v>
      </c>
    </row>
    <row r="36" spans="1:7" ht="20.25" customHeight="1">
      <c r="A36" s="33" t="s">
        <v>49</v>
      </c>
      <c r="B36" s="33"/>
      <c r="C36" s="33"/>
      <c r="D36" s="33"/>
      <c r="E36" s="33"/>
      <c r="F36" s="33"/>
      <c r="G36" s="29"/>
    </row>
    <row r="37" spans="1:7" ht="15.75" hidden="1">
      <c r="A37" s="28" t="s">
        <v>50</v>
      </c>
      <c r="B37" s="28"/>
      <c r="C37" s="28"/>
      <c r="D37" s="28"/>
      <c r="E37" s="28"/>
      <c r="F37" s="28"/>
      <c r="G37" s="29">
        <f>B3*3.47*12</f>
        <v>13199.880000000001</v>
      </c>
    </row>
    <row r="38" spans="1:7" ht="15.75">
      <c r="A38" s="28" t="s">
        <v>51</v>
      </c>
      <c r="B38" s="28"/>
      <c r="C38" s="28"/>
      <c r="D38" s="28"/>
      <c r="E38" s="28"/>
      <c r="F38" s="28"/>
      <c r="G38" s="29"/>
    </row>
    <row r="39" spans="1:7" ht="15.75" hidden="1">
      <c r="A39" s="34" t="s">
        <v>52</v>
      </c>
      <c r="B39" s="34"/>
      <c r="C39" s="34"/>
      <c r="D39" s="34"/>
      <c r="E39" s="34"/>
      <c r="F39" s="34"/>
      <c r="G39" s="29"/>
    </row>
    <row r="40" spans="1:7" ht="15.75" hidden="1">
      <c r="A40" s="34" t="s">
        <v>53</v>
      </c>
      <c r="B40" s="34"/>
      <c r="C40" s="34"/>
      <c r="D40" s="34"/>
      <c r="E40" s="34"/>
      <c r="F40" s="34"/>
      <c r="G40" s="29"/>
    </row>
    <row r="41" spans="1:7" ht="15.75" hidden="1">
      <c r="A41" s="34" t="s">
        <v>54</v>
      </c>
      <c r="B41" s="34"/>
      <c r="C41" s="34"/>
      <c r="D41" s="34"/>
      <c r="E41" s="34"/>
      <c r="F41" s="34"/>
      <c r="G41" s="29"/>
    </row>
    <row r="42" spans="1:7" ht="15.75" hidden="1">
      <c r="A42" s="34" t="s">
        <v>55</v>
      </c>
      <c r="B42" s="34"/>
      <c r="C42" s="34"/>
      <c r="D42" s="34"/>
      <c r="E42" s="34"/>
      <c r="F42" s="34"/>
      <c r="G42" s="29"/>
    </row>
    <row r="43" spans="1:7" ht="15.75" hidden="1">
      <c r="A43" s="34" t="s">
        <v>56</v>
      </c>
      <c r="B43" s="34"/>
      <c r="C43" s="34"/>
      <c r="D43" s="34"/>
      <c r="E43" s="34"/>
      <c r="F43" s="34"/>
      <c r="G43" s="29"/>
    </row>
    <row r="44" spans="1:7" ht="15.75" hidden="1">
      <c r="A44" s="34" t="s">
        <v>57</v>
      </c>
      <c r="B44" s="34"/>
      <c r="C44" s="34"/>
      <c r="D44" s="34"/>
      <c r="E44" s="34"/>
      <c r="F44" s="34"/>
      <c r="G44" s="29"/>
    </row>
    <row r="45" spans="1:7" ht="15.75">
      <c r="A45" s="34" t="s">
        <v>58</v>
      </c>
      <c r="B45" s="34"/>
      <c r="C45" s="34"/>
      <c r="D45" s="34"/>
      <c r="E45" s="34"/>
      <c r="F45" s="34"/>
      <c r="G45" s="29">
        <v>168</v>
      </c>
    </row>
    <row r="46" spans="1:7" ht="15.75" hidden="1">
      <c r="A46" s="34" t="s">
        <v>59</v>
      </c>
      <c r="B46" s="34"/>
      <c r="C46" s="34"/>
      <c r="D46" s="34"/>
      <c r="E46" s="34"/>
      <c r="F46" s="34"/>
      <c r="G46" s="29"/>
    </row>
    <row r="47" spans="1:7" ht="15.75" hidden="1">
      <c r="A47" s="34" t="s">
        <v>60</v>
      </c>
      <c r="B47" s="34"/>
      <c r="C47" s="34"/>
      <c r="D47" s="34"/>
      <c r="E47" s="34"/>
      <c r="F47" s="34"/>
      <c r="G47" s="29"/>
    </row>
    <row r="48" spans="1:7" ht="15.75" hidden="1">
      <c r="A48" s="34" t="s">
        <v>61</v>
      </c>
      <c r="B48" s="34"/>
      <c r="C48" s="34"/>
      <c r="D48" s="34"/>
      <c r="E48" s="34"/>
      <c r="F48" s="34"/>
      <c r="G48" s="29"/>
    </row>
    <row r="49" spans="1:7" ht="15.75" hidden="1">
      <c r="A49" s="34" t="s">
        <v>62</v>
      </c>
      <c r="B49" s="34"/>
      <c r="C49" s="34"/>
      <c r="D49" s="34"/>
      <c r="E49" s="34"/>
      <c r="F49" s="34"/>
      <c r="G49" s="29"/>
    </row>
    <row r="50" spans="1:7" ht="15.75">
      <c r="A50" s="34" t="s">
        <v>63</v>
      </c>
      <c r="B50" s="34"/>
      <c r="C50" s="34"/>
      <c r="D50" s="34"/>
      <c r="E50" s="34"/>
      <c r="F50" s="34"/>
      <c r="G50" s="29">
        <v>1080</v>
      </c>
    </row>
    <row r="51" spans="1:7" ht="15.75" hidden="1">
      <c r="A51" s="34" t="s">
        <v>64</v>
      </c>
      <c r="B51" s="34"/>
      <c r="C51" s="34"/>
      <c r="D51" s="34"/>
      <c r="E51" s="34"/>
      <c r="F51" s="34"/>
      <c r="G51" s="29"/>
    </row>
    <row r="52" spans="1:7" ht="15.75" hidden="1">
      <c r="A52" s="34" t="s">
        <v>65</v>
      </c>
      <c r="B52" s="34"/>
      <c r="C52" s="34"/>
      <c r="D52" s="34"/>
      <c r="E52" s="34"/>
      <c r="F52" s="34"/>
      <c r="G52" s="29"/>
    </row>
    <row r="53" spans="1:7" ht="15.75" customHeight="1">
      <c r="A53" s="33" t="s">
        <v>66</v>
      </c>
      <c r="B53" s="33"/>
      <c r="C53" s="33"/>
      <c r="D53" s="33"/>
      <c r="E53" s="33"/>
      <c r="F53" s="33"/>
      <c r="G53" s="32">
        <f>G39+G40+G41+G42+G43+G44+G45+G46+G47+G48+G49+G50+G51+G52</f>
        <v>1248</v>
      </c>
    </row>
    <row r="54" spans="1:7" ht="15.75" customHeight="1">
      <c r="A54" s="33" t="s">
        <v>67</v>
      </c>
      <c r="B54" s="33"/>
      <c r="C54" s="33"/>
      <c r="D54" s="33"/>
      <c r="E54" s="33"/>
      <c r="F54" s="33"/>
      <c r="G54" s="32">
        <f>G35+G53</f>
        <v>17178.445028835846</v>
      </c>
    </row>
    <row r="55" spans="1:7" ht="15.75">
      <c r="A55" s="28" t="s">
        <v>68</v>
      </c>
      <c r="B55" s="28"/>
      <c r="C55" s="28"/>
      <c r="D55" s="28"/>
      <c r="E55" s="28"/>
      <c r="F55" s="28"/>
      <c r="G55" s="29">
        <v>0</v>
      </c>
    </row>
    <row r="56" spans="1:7" s="1" customFormat="1" ht="15.75">
      <c r="A56" s="41" t="s">
        <v>69</v>
      </c>
      <c r="B56" s="41"/>
      <c r="C56" s="41"/>
      <c r="D56" s="41"/>
      <c r="E56" s="41"/>
      <c r="F56" s="41"/>
      <c r="G56" s="29">
        <f>141.6*4</f>
        <v>566.4</v>
      </c>
    </row>
    <row r="57" spans="1:7" ht="15.75" customHeight="1">
      <c r="A57" s="42" t="s">
        <v>70</v>
      </c>
      <c r="B57" s="42"/>
      <c r="C57" s="42"/>
      <c r="D57" s="42"/>
      <c r="E57" s="42"/>
      <c r="F57" s="42"/>
      <c r="G57" s="32">
        <f>B3*B5*4+G56</f>
        <v>14894.800000000001</v>
      </c>
    </row>
    <row r="58" spans="1:7" ht="15.75" customHeight="1">
      <c r="A58" s="43" t="s">
        <v>71</v>
      </c>
      <c r="B58" s="43"/>
      <c r="C58" s="43"/>
      <c r="D58" s="43"/>
      <c r="E58" s="43"/>
      <c r="F58" s="43"/>
      <c r="G58" s="44">
        <v>1587.63</v>
      </c>
    </row>
    <row r="59" spans="1:7" ht="68.25" customHeight="1">
      <c r="A59" s="33" t="s">
        <v>82</v>
      </c>
      <c r="B59" s="33"/>
      <c r="C59" s="33"/>
      <c r="D59" s="33"/>
      <c r="E59" s="33"/>
      <c r="F59" s="33"/>
      <c r="G59" s="32">
        <f>G54-G57-G55+G58</f>
        <v>3871.2750288358448</v>
      </c>
    </row>
  </sheetData>
  <sheetProtection selectLockedCells="1" selectUnlockedCells="1"/>
  <mergeCells count="48">
    <mergeCell ref="A1:G1"/>
    <mergeCell ref="B2:E2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G59"/>
  <sheetViews>
    <sheetView zoomScale="75" zoomScaleNormal="75" workbookViewId="0" topLeftCell="A15">
      <pane ySplit="65535" topLeftCell="A15" activePane="topLeft" state="split"/>
      <selection pane="topLeft" activeCell="G58" activeCellId="1" sqref="A77:G138 G58"/>
      <selection pane="bottomLeft" activeCell="A15" sqref="A15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4.28125" style="1" customWidth="1"/>
    <col min="8" max="16384" width="9.140625" style="1" customWidth="1"/>
  </cols>
  <sheetData>
    <row r="1" spans="1:7" ht="40.5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73</v>
      </c>
      <c r="B2" s="7" t="s">
        <v>84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75</v>
      </c>
      <c r="B3" s="10">
        <v>5078</v>
      </c>
      <c r="F3" s="8" t="s">
        <v>5</v>
      </c>
      <c r="G3" s="11">
        <v>6</v>
      </c>
    </row>
    <row r="4" spans="1:7" ht="18.75">
      <c r="A4" s="12" t="s">
        <v>76</v>
      </c>
      <c r="B4" s="13"/>
      <c r="F4" s="8" t="s">
        <v>8</v>
      </c>
      <c r="G4" s="9">
        <v>1965</v>
      </c>
    </row>
    <row r="5" spans="1:3" ht="16.5" customHeight="1">
      <c r="A5" s="12" t="s">
        <v>76</v>
      </c>
      <c r="B5" s="13">
        <v>9.49</v>
      </c>
      <c r="C5" s="1" t="s">
        <v>9</v>
      </c>
    </row>
    <row r="6" spans="1:7" ht="18.75" hidden="1">
      <c r="A6" s="14" t="s">
        <v>10</v>
      </c>
      <c r="B6" s="15">
        <v>367.8</v>
      </c>
      <c r="C6" s="16"/>
      <c r="D6" s="16"/>
      <c r="E6" s="16"/>
      <c r="F6" s="16"/>
      <c r="G6" s="16"/>
    </row>
    <row r="7" spans="1:7" ht="18.75" hidden="1">
      <c r="A7" s="14" t="s">
        <v>12</v>
      </c>
      <c r="B7" s="17">
        <v>0</v>
      </c>
      <c r="C7" s="16"/>
      <c r="D7" s="16"/>
      <c r="E7" s="16"/>
      <c r="F7" s="16"/>
      <c r="G7" s="16"/>
    </row>
    <row r="8" spans="1:7" ht="38.25" customHeight="1" hidden="1">
      <c r="A8" s="18" t="s">
        <v>13</v>
      </c>
      <c r="B8" s="19" t="s">
        <v>14</v>
      </c>
      <c r="C8" s="19" t="s">
        <v>15</v>
      </c>
      <c r="D8" s="19" t="s">
        <v>16</v>
      </c>
      <c r="E8" s="19" t="s">
        <v>17</v>
      </c>
      <c r="F8" s="16"/>
      <c r="G8" s="16"/>
    </row>
    <row r="9" spans="1:7" ht="20.25" customHeight="1" hidden="1">
      <c r="A9" s="14"/>
      <c r="B9" s="17">
        <v>823</v>
      </c>
      <c r="C9" s="17">
        <v>4815</v>
      </c>
      <c r="D9" s="17">
        <v>823</v>
      </c>
      <c r="E9" s="17">
        <v>4815</v>
      </c>
      <c r="F9" s="16"/>
      <c r="G9" s="16"/>
    </row>
    <row r="10" spans="1:7" ht="18.75" hidden="1">
      <c r="A10" s="14" t="s">
        <v>18</v>
      </c>
      <c r="B10" s="20">
        <v>0</v>
      </c>
      <c r="C10" s="16"/>
      <c r="D10" s="16"/>
      <c r="E10" s="16"/>
      <c r="F10" s="16"/>
      <c r="G10" s="16"/>
    </row>
    <row r="11" spans="1:7" ht="19.5" hidden="1">
      <c r="A11" s="14" t="s">
        <v>19</v>
      </c>
      <c r="B11" s="20">
        <v>1024.8</v>
      </c>
      <c r="C11" s="20">
        <v>942.3</v>
      </c>
      <c r="D11" s="20">
        <f>B11+C11</f>
        <v>1967.1</v>
      </c>
      <c r="E11" s="16"/>
      <c r="F11" s="16"/>
      <c r="G11" s="16"/>
    </row>
    <row r="12" spans="1:7" ht="50.25" customHeight="1" hidden="1">
      <c r="A12" s="14" t="s">
        <v>20</v>
      </c>
      <c r="B12" s="19" t="s">
        <v>21</v>
      </c>
      <c r="C12" s="21" t="s">
        <v>22</v>
      </c>
      <c r="D12" s="19" t="s">
        <v>23</v>
      </c>
      <c r="E12" s="22" t="s">
        <v>24</v>
      </c>
      <c r="F12" s="17" t="s">
        <v>25</v>
      </c>
      <c r="G12" s="16"/>
    </row>
    <row r="13" spans="1:7" ht="23.25" customHeight="1" hidden="1">
      <c r="A13" s="23"/>
      <c r="B13" s="24">
        <v>120</v>
      </c>
      <c r="C13" s="24">
        <v>120</v>
      </c>
      <c r="D13" s="24"/>
      <c r="E13" s="25">
        <f>D13+C13+B13</f>
        <v>240</v>
      </c>
      <c r="F13" s="17"/>
      <c r="G13" s="16"/>
    </row>
    <row r="14" spans="1:7" ht="18.75" customHeight="1">
      <c r="A14" s="26" t="s">
        <v>26</v>
      </c>
      <c r="B14" s="26"/>
      <c r="C14" s="26"/>
      <c r="D14" s="26"/>
      <c r="E14" s="26"/>
      <c r="F14" s="26"/>
      <c r="G14" s="27" t="s">
        <v>27</v>
      </c>
    </row>
    <row r="15" spans="1:7" ht="15.75">
      <c r="A15" s="28" t="s">
        <v>28</v>
      </c>
      <c r="B15" s="28"/>
      <c r="C15" s="28"/>
      <c r="D15" s="28"/>
      <c r="E15" s="28"/>
      <c r="F15" s="28"/>
      <c r="G15" s="29">
        <f>B6*7.012*4</f>
        <v>10316.054399999999</v>
      </c>
    </row>
    <row r="16" spans="1:7" ht="15.75" hidden="1">
      <c r="A16" s="28" t="s">
        <v>29</v>
      </c>
      <c r="B16" s="28"/>
      <c r="C16" s="28"/>
      <c r="D16" s="28"/>
      <c r="E16" s="28"/>
      <c r="F16" s="28"/>
      <c r="G16" s="29">
        <f>B7*35.705*12</f>
        <v>0</v>
      </c>
    </row>
    <row r="17" spans="1:7" ht="15.75" hidden="1">
      <c r="A17" s="28" t="s">
        <v>30</v>
      </c>
      <c r="B17" s="28"/>
      <c r="C17" s="28"/>
      <c r="D17" s="28"/>
      <c r="E17" s="28"/>
      <c r="F17" s="28"/>
      <c r="G17" s="29">
        <f>B10*0.3613*12</f>
        <v>0</v>
      </c>
    </row>
    <row r="18" spans="1:7" ht="15.75">
      <c r="A18" s="28" t="s">
        <v>31</v>
      </c>
      <c r="B18" s="28"/>
      <c r="C18" s="28"/>
      <c r="D18" s="28"/>
      <c r="E18" s="28"/>
      <c r="F18" s="28"/>
      <c r="G18" s="29">
        <f>(B9*9.46/100*64)+(C9*7.09/100*38)+(D9*23.66/100*26)+(E9*1.77/100*5)</f>
        <v>23444.2385</v>
      </c>
    </row>
    <row r="19" spans="1:7" ht="15.75" customHeight="1">
      <c r="A19" s="30" t="s">
        <v>32</v>
      </c>
      <c r="B19" s="30"/>
      <c r="C19" s="30"/>
      <c r="D19" s="30"/>
      <c r="E19" s="30"/>
      <c r="F19" s="30"/>
      <c r="G19" s="31">
        <f>574906.73/199064.79*B3</f>
        <v>14665.458290941355</v>
      </c>
    </row>
    <row r="20" spans="1:7" ht="15.75">
      <c r="A20" s="28" t="s">
        <v>33</v>
      </c>
      <c r="B20" s="28"/>
      <c r="C20" s="28"/>
      <c r="D20" s="28"/>
      <c r="E20" s="28"/>
      <c r="F20" s="28"/>
      <c r="G20" s="29">
        <f>D11*0.14*2</f>
        <v>550.788</v>
      </c>
    </row>
    <row r="21" spans="1:7" ht="15.75">
      <c r="A21" s="28" t="s">
        <v>34</v>
      </c>
      <c r="B21" s="28"/>
      <c r="C21" s="28"/>
      <c r="D21" s="28"/>
      <c r="E21" s="28"/>
      <c r="F21" s="28"/>
      <c r="G21" s="29">
        <f>95.95+6117.12+1978.86+6620.08</f>
        <v>14812.009999999998</v>
      </c>
    </row>
    <row r="22" spans="1:7" ht="15.75">
      <c r="A22" s="28" t="s">
        <v>35</v>
      </c>
      <c r="B22" s="28"/>
      <c r="C22" s="28"/>
      <c r="D22" s="28"/>
      <c r="E22" s="28"/>
      <c r="F22" s="28"/>
      <c r="G22" s="29">
        <f>B3*0.845*4</f>
        <v>17163.64</v>
      </c>
    </row>
    <row r="23" spans="1:7" ht="15.75" hidden="1">
      <c r="A23" s="28" t="s">
        <v>36</v>
      </c>
      <c r="B23" s="28"/>
      <c r="C23" s="28"/>
      <c r="D23" s="28"/>
      <c r="E23" s="28"/>
      <c r="F23" s="28"/>
      <c r="G23" s="29">
        <v>0</v>
      </c>
    </row>
    <row r="24" spans="1:7" ht="15.75" hidden="1">
      <c r="A24" s="28" t="s">
        <v>37</v>
      </c>
      <c r="B24" s="28"/>
      <c r="C24" s="28"/>
      <c r="D24" s="28"/>
      <c r="E24" s="28"/>
      <c r="F24" s="28"/>
      <c r="G24" s="29">
        <v>0</v>
      </c>
    </row>
    <row r="25" spans="1:7" ht="15.75" hidden="1">
      <c r="A25" s="28" t="s">
        <v>38</v>
      </c>
      <c r="B25" s="28"/>
      <c r="C25" s="28"/>
      <c r="D25" s="28"/>
      <c r="E25" s="28"/>
      <c r="F25" s="28"/>
      <c r="G25" s="29">
        <v>0</v>
      </c>
    </row>
    <row r="26" spans="1:7" ht="15.75">
      <c r="A26" s="28" t="s">
        <v>39</v>
      </c>
      <c r="B26" s="28"/>
      <c r="C26" s="28"/>
      <c r="D26" s="28"/>
      <c r="E26" s="28"/>
      <c r="F26" s="28"/>
      <c r="G26" s="29">
        <f>4*352+4*251.46</f>
        <v>2413.84</v>
      </c>
    </row>
    <row r="27" spans="1:7" ht="15.75" hidden="1">
      <c r="A27" s="28" t="s">
        <v>40</v>
      </c>
      <c r="B27" s="28"/>
      <c r="C27" s="28"/>
      <c r="D27" s="28"/>
      <c r="E27" s="28"/>
      <c r="F27" s="28"/>
      <c r="G27" s="29">
        <v>0</v>
      </c>
    </row>
    <row r="28" spans="1:7" ht="15.75" hidden="1">
      <c r="A28" s="28" t="s">
        <v>41</v>
      </c>
      <c r="B28" s="28"/>
      <c r="C28" s="28"/>
      <c r="D28" s="28"/>
      <c r="E28" s="28"/>
      <c r="F28" s="28"/>
      <c r="G28" s="29">
        <v>0</v>
      </c>
    </row>
    <row r="29" spans="1:7" ht="15.75" hidden="1">
      <c r="A29" s="28" t="s">
        <v>42</v>
      </c>
      <c r="B29" s="28"/>
      <c r="C29" s="28"/>
      <c r="D29" s="28"/>
      <c r="E29" s="28"/>
      <c r="F29" s="28"/>
      <c r="G29" s="29">
        <v>0</v>
      </c>
    </row>
    <row r="30" spans="1:7" ht="15.75">
      <c r="A30" s="28" t="s">
        <v>43</v>
      </c>
      <c r="B30" s="28"/>
      <c r="C30" s="28"/>
      <c r="D30" s="28"/>
      <c r="E30" s="28"/>
      <c r="F30" s="28"/>
      <c r="G30" s="29">
        <f>B3*1.75*4</f>
        <v>35546</v>
      </c>
    </row>
    <row r="31" spans="1:7" ht="15.75" customHeight="1">
      <c r="A31" s="30" t="s">
        <v>44</v>
      </c>
      <c r="B31" s="30"/>
      <c r="C31" s="30"/>
      <c r="D31" s="30"/>
      <c r="E31" s="30"/>
      <c r="F31" s="30"/>
      <c r="G31" s="29">
        <f>(F13*4*8.57)+(B13*2*3.14)+(C13*1*3.14)+(D13*1*3.14)</f>
        <v>1130.4</v>
      </c>
    </row>
    <row r="32" spans="1:7" ht="15.75">
      <c r="A32" s="28" t="s">
        <v>45</v>
      </c>
      <c r="B32" s="28"/>
      <c r="C32" s="28"/>
      <c r="D32" s="28"/>
      <c r="E32" s="28"/>
      <c r="F32" s="28"/>
      <c r="G32" s="29">
        <f>B3*0.65*4</f>
        <v>13202.800000000001</v>
      </c>
    </row>
    <row r="33" spans="1:7" ht="15.75">
      <c r="A33" s="28" t="s">
        <v>46</v>
      </c>
      <c r="B33" s="28"/>
      <c r="C33" s="28"/>
      <c r="D33" s="28"/>
      <c r="E33" s="28"/>
      <c r="F33" s="28"/>
      <c r="G33" s="29">
        <f>B3*0.2*4</f>
        <v>4062.4</v>
      </c>
    </row>
    <row r="34" spans="1:7" ht="15.75">
      <c r="A34" s="28" t="s">
        <v>47</v>
      </c>
      <c r="B34" s="28"/>
      <c r="C34" s="28"/>
      <c r="D34" s="28"/>
      <c r="E34" s="28"/>
      <c r="F34" s="28"/>
      <c r="G34" s="29">
        <f>B3*0.7*4</f>
        <v>14218.4</v>
      </c>
    </row>
    <row r="35" spans="1:7" ht="15.75">
      <c r="A35" s="26" t="s">
        <v>48</v>
      </c>
      <c r="B35" s="26"/>
      <c r="C35" s="26"/>
      <c r="D35" s="26"/>
      <c r="E35" s="26"/>
      <c r="F35" s="26"/>
      <c r="G35" s="32">
        <f>G15+G16+G17+G18+G19+G20+G21+G22+G23+G24+G26+G30+G31+G32+G33+G34+G27+G28+G29+G25</f>
        <v>151526.02919094134</v>
      </c>
    </row>
    <row r="36" spans="1:7" ht="20.25" customHeight="1">
      <c r="A36" s="33" t="s">
        <v>49</v>
      </c>
      <c r="B36" s="33"/>
      <c r="C36" s="33"/>
      <c r="D36" s="33"/>
      <c r="E36" s="33"/>
      <c r="F36" s="33"/>
      <c r="G36" s="29"/>
    </row>
    <row r="37" spans="1:7" ht="15.75" hidden="1">
      <c r="A37" s="28" t="s">
        <v>50</v>
      </c>
      <c r="B37" s="28"/>
      <c r="C37" s="28"/>
      <c r="D37" s="28"/>
      <c r="E37" s="28"/>
      <c r="F37" s="28"/>
      <c r="G37" s="29"/>
    </row>
    <row r="38" spans="1:7" ht="15.75">
      <c r="A38" s="28" t="s">
        <v>51</v>
      </c>
      <c r="B38" s="28"/>
      <c r="C38" s="28"/>
      <c r="D38" s="28"/>
      <c r="E38" s="28"/>
      <c r="F38" s="28"/>
      <c r="G38" s="29"/>
    </row>
    <row r="39" spans="1:7" ht="15.75" hidden="1">
      <c r="A39" s="34" t="s">
        <v>52</v>
      </c>
      <c r="B39" s="34"/>
      <c r="C39" s="34"/>
      <c r="D39" s="34"/>
      <c r="E39" s="34"/>
      <c r="F39" s="34"/>
      <c r="G39" s="29"/>
    </row>
    <row r="40" spans="1:7" ht="15.75" hidden="1">
      <c r="A40" s="34" t="s">
        <v>53</v>
      </c>
      <c r="B40" s="34"/>
      <c r="C40" s="34"/>
      <c r="D40" s="34"/>
      <c r="E40" s="34"/>
      <c r="F40" s="34"/>
      <c r="G40" s="29"/>
    </row>
    <row r="41" spans="1:7" ht="15.75" hidden="1">
      <c r="A41" s="34" t="s">
        <v>54</v>
      </c>
      <c r="B41" s="34"/>
      <c r="C41" s="34"/>
      <c r="D41" s="34"/>
      <c r="E41" s="34"/>
      <c r="F41" s="34"/>
      <c r="G41" s="29"/>
    </row>
    <row r="42" spans="1:7" ht="15.75" hidden="1">
      <c r="A42" s="34" t="s">
        <v>55</v>
      </c>
      <c r="B42" s="34"/>
      <c r="C42" s="34"/>
      <c r="D42" s="34"/>
      <c r="E42" s="34"/>
      <c r="F42" s="34"/>
      <c r="G42" s="29"/>
    </row>
    <row r="43" spans="1:7" ht="15.75" hidden="1">
      <c r="A43" s="34" t="s">
        <v>56</v>
      </c>
      <c r="B43" s="34"/>
      <c r="C43" s="34"/>
      <c r="D43" s="34"/>
      <c r="E43" s="34"/>
      <c r="F43" s="34"/>
      <c r="G43" s="29"/>
    </row>
    <row r="44" spans="1:7" ht="15.75" hidden="1">
      <c r="A44" s="34" t="s">
        <v>57</v>
      </c>
      <c r="B44" s="34"/>
      <c r="C44" s="34"/>
      <c r="D44" s="34"/>
      <c r="E44" s="34"/>
      <c r="F44" s="34"/>
      <c r="G44" s="29"/>
    </row>
    <row r="45" spans="1:7" ht="15.75">
      <c r="A45" s="34" t="s">
        <v>58</v>
      </c>
      <c r="B45" s="34"/>
      <c r="C45" s="34"/>
      <c r="D45" s="34"/>
      <c r="E45" s="34"/>
      <c r="F45" s="34"/>
      <c r="G45" s="29">
        <v>168</v>
      </c>
    </row>
    <row r="46" spans="1:7" ht="15.75">
      <c r="A46" s="34" t="s">
        <v>59</v>
      </c>
      <c r="B46" s="34"/>
      <c r="C46" s="34"/>
      <c r="D46" s="34"/>
      <c r="E46" s="34"/>
      <c r="F46" s="34"/>
      <c r="G46" s="29">
        <v>5040</v>
      </c>
    </row>
    <row r="47" spans="1:7" ht="15.75" hidden="1">
      <c r="A47" s="34" t="s">
        <v>60</v>
      </c>
      <c r="B47" s="34"/>
      <c r="C47" s="34"/>
      <c r="D47" s="34"/>
      <c r="E47" s="34"/>
      <c r="F47" s="34"/>
      <c r="G47" s="29"/>
    </row>
    <row r="48" spans="1:7" ht="15.75" hidden="1">
      <c r="A48" s="34" t="s">
        <v>61</v>
      </c>
      <c r="B48" s="34"/>
      <c r="C48" s="34"/>
      <c r="D48" s="34"/>
      <c r="E48" s="34"/>
      <c r="F48" s="34"/>
      <c r="G48" s="29"/>
    </row>
    <row r="49" spans="1:7" ht="15.75" hidden="1">
      <c r="A49" s="34" t="s">
        <v>62</v>
      </c>
      <c r="B49" s="34"/>
      <c r="C49" s="34"/>
      <c r="D49" s="34"/>
      <c r="E49" s="34"/>
      <c r="F49" s="34"/>
      <c r="G49" s="29"/>
    </row>
    <row r="50" spans="1:7" ht="15.75">
      <c r="A50" s="34" t="s">
        <v>63</v>
      </c>
      <c r="B50" s="34"/>
      <c r="C50" s="34"/>
      <c r="D50" s="34"/>
      <c r="E50" s="34"/>
      <c r="F50" s="34"/>
      <c r="G50" s="29">
        <v>3250</v>
      </c>
    </row>
    <row r="51" spans="1:7" ht="15.75" hidden="1">
      <c r="A51" s="34" t="s">
        <v>64</v>
      </c>
      <c r="B51" s="34"/>
      <c r="C51" s="34"/>
      <c r="D51" s="34"/>
      <c r="E51" s="34"/>
      <c r="F51" s="34"/>
      <c r="G51" s="29"/>
    </row>
    <row r="52" spans="1:7" ht="15.75" hidden="1">
      <c r="A52" s="34" t="s">
        <v>65</v>
      </c>
      <c r="B52" s="34"/>
      <c r="C52" s="34"/>
      <c r="D52" s="34"/>
      <c r="E52" s="34"/>
      <c r="F52" s="34"/>
      <c r="G52" s="29"/>
    </row>
    <row r="53" spans="1:7" ht="18.75" customHeight="1">
      <c r="A53" s="33" t="s">
        <v>66</v>
      </c>
      <c r="B53" s="33"/>
      <c r="C53" s="33"/>
      <c r="D53" s="33"/>
      <c r="E53" s="33"/>
      <c r="F53" s="33"/>
      <c r="G53" s="32">
        <f>G39+G40+G41+G42+G43+G44+G45+G46+G47+G48+G49+G50+G51+G52</f>
        <v>8458</v>
      </c>
    </row>
    <row r="54" spans="1:7" ht="21" customHeight="1">
      <c r="A54" s="33" t="s">
        <v>67</v>
      </c>
      <c r="B54" s="33"/>
      <c r="C54" s="33"/>
      <c r="D54" s="33"/>
      <c r="E54" s="33"/>
      <c r="F54" s="33"/>
      <c r="G54" s="32">
        <f>G35+G53</f>
        <v>159984.02919094134</v>
      </c>
    </row>
    <row r="55" spans="1:7" ht="15.75">
      <c r="A55" s="28" t="s">
        <v>68</v>
      </c>
      <c r="B55" s="28"/>
      <c r="C55" s="28"/>
      <c r="D55" s="28"/>
      <c r="E55" s="28"/>
      <c r="F55" s="28"/>
      <c r="G55" s="29">
        <v>-5836.63</v>
      </c>
    </row>
    <row r="56" spans="1:7" ht="15.75">
      <c r="A56" s="41" t="s">
        <v>69</v>
      </c>
      <c r="B56" s="41"/>
      <c r="C56" s="41"/>
      <c r="D56" s="41"/>
      <c r="E56" s="41"/>
      <c r="F56" s="41"/>
      <c r="G56" s="29">
        <f>281.58*4+141.6*4+180*4</f>
        <v>2412.72</v>
      </c>
    </row>
    <row r="57" spans="1:7" ht="15.75" customHeight="1">
      <c r="A57" s="42" t="s">
        <v>70</v>
      </c>
      <c r="B57" s="42"/>
      <c r="C57" s="42"/>
      <c r="D57" s="42"/>
      <c r="E57" s="42"/>
      <c r="F57" s="42"/>
      <c r="G57" s="32">
        <f>B3*B5*4+G56</f>
        <v>195173.6</v>
      </c>
    </row>
    <row r="58" spans="1:7" ht="15.75" customHeight="1">
      <c r="A58" s="43" t="s">
        <v>71</v>
      </c>
      <c r="B58" s="43"/>
      <c r="C58" s="43"/>
      <c r="D58" s="43"/>
      <c r="E58" s="43"/>
      <c r="F58" s="43"/>
      <c r="G58" s="44">
        <v>17905.75</v>
      </c>
    </row>
    <row r="59" spans="1:7" ht="64.5" customHeight="1">
      <c r="A59" s="33" t="s">
        <v>80</v>
      </c>
      <c r="B59" s="33"/>
      <c r="C59" s="33"/>
      <c r="D59" s="33"/>
      <c r="E59" s="33"/>
      <c r="F59" s="33"/>
      <c r="G59" s="32">
        <f>G54-G57+G58-G55</f>
        <v>-11447.19080905867</v>
      </c>
    </row>
  </sheetData>
  <sheetProtection selectLockedCells="1" selectUnlockedCells="1"/>
  <mergeCells count="48">
    <mergeCell ref="A1:G1"/>
    <mergeCell ref="B2:E2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40"/>
  </sheetPr>
  <dimension ref="A1:G59"/>
  <sheetViews>
    <sheetView zoomScale="75" zoomScaleNormal="75" workbookViewId="0" topLeftCell="A18">
      <pane ySplit="65535" topLeftCell="A18" activePane="topLeft" state="split"/>
      <selection pane="topLeft" activeCell="G58" activeCellId="1" sqref="A77:G138 G58"/>
      <selection pane="bottomLeft" activeCell="A18" sqref="A18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4.421875" style="1" customWidth="1"/>
    <col min="8" max="16384" width="9.140625" style="1" customWidth="1"/>
  </cols>
  <sheetData>
    <row r="1" spans="1:7" ht="40.5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73</v>
      </c>
      <c r="B2" s="7" t="s">
        <v>147</v>
      </c>
      <c r="C2" s="7"/>
      <c r="D2" s="7"/>
      <c r="E2" s="7"/>
      <c r="F2" s="8" t="s">
        <v>3</v>
      </c>
      <c r="G2" s="9">
        <v>2</v>
      </c>
    </row>
    <row r="3" spans="1:7" ht="18.75">
      <c r="A3" s="6" t="s">
        <v>75</v>
      </c>
      <c r="B3" s="10">
        <v>262.9</v>
      </c>
      <c r="F3" s="8" t="s">
        <v>5</v>
      </c>
      <c r="G3" s="11">
        <v>1</v>
      </c>
    </row>
    <row r="4" spans="1:7" ht="18.75">
      <c r="A4" s="12" t="s">
        <v>76</v>
      </c>
      <c r="B4" s="13"/>
      <c r="F4" s="8" t="s">
        <v>8</v>
      </c>
      <c r="G4" s="9">
        <v>1962</v>
      </c>
    </row>
    <row r="5" spans="1:3" ht="16.5" customHeight="1">
      <c r="A5" s="12" t="s">
        <v>76</v>
      </c>
      <c r="B5" s="13">
        <v>9.49</v>
      </c>
      <c r="C5" s="1" t="s">
        <v>148</v>
      </c>
    </row>
    <row r="6" spans="1:7" ht="18.75" hidden="1">
      <c r="A6" s="14" t="s">
        <v>10</v>
      </c>
      <c r="B6" s="15">
        <v>18.4</v>
      </c>
      <c r="C6" s="16"/>
      <c r="D6" s="16"/>
      <c r="E6" s="16"/>
      <c r="F6" s="16"/>
      <c r="G6" s="16"/>
    </row>
    <row r="7" spans="1:7" ht="18.75" hidden="1">
      <c r="A7" s="14" t="s">
        <v>12</v>
      </c>
      <c r="B7" s="17">
        <v>0</v>
      </c>
      <c r="C7" s="16"/>
      <c r="D7" s="16"/>
      <c r="E7" s="16"/>
      <c r="F7" s="16"/>
      <c r="G7" s="16"/>
    </row>
    <row r="8" spans="1:7" ht="38.25" customHeight="1" hidden="1">
      <c r="A8" s="18" t="s">
        <v>13</v>
      </c>
      <c r="B8" s="19" t="s">
        <v>14</v>
      </c>
      <c r="C8" s="19" t="s">
        <v>15</v>
      </c>
      <c r="D8" s="19" t="s">
        <v>16</v>
      </c>
      <c r="E8" s="19" t="s">
        <v>17</v>
      </c>
      <c r="F8" s="16"/>
      <c r="G8" s="16"/>
    </row>
    <row r="9" spans="1:7" ht="20.25" customHeight="1" hidden="1">
      <c r="A9" s="14"/>
      <c r="B9" s="17">
        <v>144</v>
      </c>
      <c r="C9" s="17">
        <v>1171</v>
      </c>
      <c r="D9" s="17">
        <v>144</v>
      </c>
      <c r="E9" s="17">
        <v>1171</v>
      </c>
      <c r="F9" s="16"/>
      <c r="G9" s="16"/>
    </row>
    <row r="10" spans="1:7" ht="18.75" hidden="1">
      <c r="A10" s="14" t="s">
        <v>18</v>
      </c>
      <c r="B10" s="20">
        <v>0</v>
      </c>
      <c r="C10" s="16"/>
      <c r="D10" s="16"/>
      <c r="E10" s="16"/>
      <c r="F10" s="16"/>
      <c r="G10" s="16"/>
    </row>
    <row r="11" spans="1:7" ht="19.5" hidden="1">
      <c r="A11" s="14" t="s">
        <v>19</v>
      </c>
      <c r="B11" s="20">
        <v>0</v>
      </c>
      <c r="C11" s="20">
        <v>131.5</v>
      </c>
      <c r="D11" s="20">
        <f>B11+C11</f>
        <v>131.5</v>
      </c>
      <c r="E11" s="16"/>
      <c r="F11" s="16"/>
      <c r="G11" s="16"/>
    </row>
    <row r="12" spans="1:7" ht="50.25" customHeight="1" hidden="1">
      <c r="A12" s="14" t="s">
        <v>20</v>
      </c>
      <c r="B12" s="19" t="s">
        <v>21</v>
      </c>
      <c r="C12" s="21" t="s">
        <v>22</v>
      </c>
      <c r="D12" s="19" t="s">
        <v>23</v>
      </c>
      <c r="E12" s="22" t="s">
        <v>24</v>
      </c>
      <c r="F12" s="17" t="s">
        <v>25</v>
      </c>
      <c r="G12" s="16"/>
    </row>
    <row r="13" spans="1:7" ht="23.25" customHeight="1" hidden="1">
      <c r="A13" s="23"/>
      <c r="B13" s="24">
        <v>8</v>
      </c>
      <c r="C13" s="24">
        <v>8</v>
      </c>
      <c r="D13" s="24"/>
      <c r="E13" s="25">
        <f>D13+C13+B13</f>
        <v>16</v>
      </c>
      <c r="F13" s="17"/>
      <c r="G13" s="16"/>
    </row>
    <row r="14" spans="1:7" ht="18.75" customHeight="1">
      <c r="A14" s="26" t="s">
        <v>26</v>
      </c>
      <c r="B14" s="26"/>
      <c r="C14" s="26"/>
      <c r="D14" s="26"/>
      <c r="E14" s="26"/>
      <c r="F14" s="26"/>
      <c r="G14" s="27" t="s">
        <v>27</v>
      </c>
    </row>
    <row r="15" spans="1:7" ht="15.75">
      <c r="A15" s="28" t="s">
        <v>28</v>
      </c>
      <c r="B15" s="28"/>
      <c r="C15" s="28"/>
      <c r="D15" s="28"/>
      <c r="E15" s="28"/>
      <c r="F15" s="28"/>
      <c r="G15" s="29">
        <f>B6*7.012*4</f>
        <v>516.0831999999999</v>
      </c>
    </row>
    <row r="16" spans="1:7" ht="15.75" hidden="1">
      <c r="A16" s="28" t="s">
        <v>29</v>
      </c>
      <c r="B16" s="28"/>
      <c r="C16" s="28"/>
      <c r="D16" s="28"/>
      <c r="E16" s="28"/>
      <c r="F16" s="28"/>
      <c r="G16" s="29">
        <f>B7*35.705*12</f>
        <v>0</v>
      </c>
    </row>
    <row r="17" spans="1:7" ht="15.75" hidden="1">
      <c r="A17" s="28" t="s">
        <v>30</v>
      </c>
      <c r="B17" s="28"/>
      <c r="C17" s="28"/>
      <c r="D17" s="28"/>
      <c r="E17" s="28"/>
      <c r="F17" s="28"/>
      <c r="G17" s="29">
        <f>B10*0.3613*12</f>
        <v>0</v>
      </c>
    </row>
    <row r="18" spans="1:7" ht="15.75">
      <c r="A18" s="28" t="s">
        <v>31</v>
      </c>
      <c r="B18" s="28"/>
      <c r="C18" s="28"/>
      <c r="D18" s="28"/>
      <c r="E18" s="28"/>
      <c r="F18" s="28"/>
      <c r="G18" s="29">
        <f>(B9*9.46/100*64)+(C9*7.09/100*38)+(D9*23.66/100*26)+(E9*1.77/100*5)</f>
        <v>5016.2056999999995</v>
      </c>
    </row>
    <row r="19" spans="1:7" ht="15.75" customHeight="1">
      <c r="A19" s="30" t="s">
        <v>32</v>
      </c>
      <c r="B19" s="30"/>
      <c r="C19" s="30"/>
      <c r="D19" s="30"/>
      <c r="E19" s="30"/>
      <c r="F19" s="30"/>
      <c r="G19" s="31">
        <f>574906.73/199064.79*B3</f>
        <v>759.265258898874</v>
      </c>
    </row>
    <row r="20" spans="1:7" ht="15.75">
      <c r="A20" s="28" t="s">
        <v>33</v>
      </c>
      <c r="B20" s="28"/>
      <c r="C20" s="28"/>
      <c r="D20" s="28"/>
      <c r="E20" s="28"/>
      <c r="F20" s="28"/>
      <c r="G20" s="29">
        <f>D11*0.14*2</f>
        <v>36.82</v>
      </c>
    </row>
    <row r="21" spans="1:7" ht="15.75" hidden="1">
      <c r="A21" s="28" t="s">
        <v>34</v>
      </c>
      <c r="B21" s="28"/>
      <c r="C21" s="28"/>
      <c r="D21" s="28"/>
      <c r="E21" s="28"/>
      <c r="F21" s="28"/>
      <c r="G21" s="29">
        <v>0</v>
      </c>
    </row>
    <row r="22" spans="1:7" ht="15.75">
      <c r="A22" s="28" t="s">
        <v>35</v>
      </c>
      <c r="B22" s="28"/>
      <c r="C22" s="28"/>
      <c r="D22" s="28"/>
      <c r="E22" s="28"/>
      <c r="F22" s="28"/>
      <c r="G22" s="29">
        <f>B3*0.845*4</f>
        <v>888.6019999999999</v>
      </c>
    </row>
    <row r="23" spans="1:7" ht="15.75" hidden="1">
      <c r="A23" s="28" t="s">
        <v>36</v>
      </c>
      <c r="B23" s="28"/>
      <c r="C23" s="28"/>
      <c r="D23" s="28"/>
      <c r="E23" s="28"/>
      <c r="F23" s="28"/>
      <c r="G23" s="29">
        <v>0</v>
      </c>
    </row>
    <row r="24" spans="1:7" ht="15.75" hidden="1">
      <c r="A24" s="28" t="s">
        <v>37</v>
      </c>
      <c r="B24" s="28"/>
      <c r="C24" s="28"/>
      <c r="D24" s="28"/>
      <c r="E24" s="28"/>
      <c r="F24" s="28"/>
      <c r="G24" s="29">
        <v>0</v>
      </c>
    </row>
    <row r="25" spans="1:7" ht="15.75" hidden="1">
      <c r="A25" s="28" t="s">
        <v>38</v>
      </c>
      <c r="B25" s="28"/>
      <c r="C25" s="28"/>
      <c r="D25" s="28"/>
      <c r="E25" s="28"/>
      <c r="F25" s="28"/>
      <c r="G25" s="29">
        <v>0</v>
      </c>
    </row>
    <row r="26" spans="1:7" ht="15.75">
      <c r="A26" s="28" t="s">
        <v>39</v>
      </c>
      <c r="B26" s="28"/>
      <c r="C26" s="28"/>
      <c r="D26" s="28"/>
      <c r="E26" s="28"/>
      <c r="F26" s="28"/>
      <c r="G26" s="29">
        <f>3*352+3459.28</f>
        <v>4515.280000000001</v>
      </c>
    </row>
    <row r="27" spans="1:7" ht="15.75" hidden="1">
      <c r="A27" s="28" t="s">
        <v>40</v>
      </c>
      <c r="B27" s="28"/>
      <c r="C27" s="28"/>
      <c r="D27" s="28"/>
      <c r="E27" s="28"/>
      <c r="F27" s="28"/>
      <c r="G27" s="29">
        <v>0</v>
      </c>
    </row>
    <row r="28" spans="1:7" ht="15.75" hidden="1">
      <c r="A28" s="28" t="s">
        <v>41</v>
      </c>
      <c r="B28" s="28"/>
      <c r="C28" s="28"/>
      <c r="D28" s="28"/>
      <c r="E28" s="28"/>
      <c r="F28" s="28"/>
      <c r="G28" s="29">
        <v>0</v>
      </c>
    </row>
    <row r="29" spans="1:7" ht="15.75" hidden="1">
      <c r="A29" s="28" t="s">
        <v>42</v>
      </c>
      <c r="B29" s="28"/>
      <c r="C29" s="28"/>
      <c r="D29" s="28"/>
      <c r="E29" s="28"/>
      <c r="F29" s="28"/>
      <c r="G29" s="29">
        <v>0</v>
      </c>
    </row>
    <row r="30" spans="1:7" ht="15.75">
      <c r="A30" s="28" t="s">
        <v>43</v>
      </c>
      <c r="B30" s="28"/>
      <c r="C30" s="28"/>
      <c r="D30" s="28"/>
      <c r="E30" s="28"/>
      <c r="F30" s="28"/>
      <c r="G30" s="29">
        <f>B3*1.75*4</f>
        <v>1840.2999999999997</v>
      </c>
    </row>
    <row r="31" spans="1:7" ht="15.75" customHeight="1">
      <c r="A31" s="30" t="s">
        <v>44</v>
      </c>
      <c r="B31" s="30"/>
      <c r="C31" s="30"/>
      <c r="D31" s="30"/>
      <c r="E31" s="30"/>
      <c r="F31" s="30"/>
      <c r="G31" s="29">
        <f>(F13*4*8.57)+(B13*2*3.14)+(C13*1*3.14)+(D13*1*3.14)</f>
        <v>75.36</v>
      </c>
    </row>
    <row r="32" spans="1:7" ht="15.75">
      <c r="A32" s="28" t="s">
        <v>45</v>
      </c>
      <c r="B32" s="28"/>
      <c r="C32" s="28"/>
      <c r="D32" s="28"/>
      <c r="E32" s="28"/>
      <c r="F32" s="28"/>
      <c r="G32" s="29">
        <f>B3*0.65*4</f>
        <v>683.54</v>
      </c>
    </row>
    <row r="33" spans="1:7" ht="15.75">
      <c r="A33" s="28" t="s">
        <v>46</v>
      </c>
      <c r="B33" s="28"/>
      <c r="C33" s="28"/>
      <c r="D33" s="28"/>
      <c r="E33" s="28"/>
      <c r="F33" s="28"/>
      <c r="G33" s="29">
        <f>B3*0.2*4</f>
        <v>210.32</v>
      </c>
    </row>
    <row r="34" spans="1:7" ht="15.75">
      <c r="A34" s="28" t="s">
        <v>47</v>
      </c>
      <c r="B34" s="28"/>
      <c r="C34" s="28"/>
      <c r="D34" s="28"/>
      <c r="E34" s="28"/>
      <c r="F34" s="28"/>
      <c r="G34" s="29">
        <f>B3*0.7*4</f>
        <v>736.1199999999999</v>
      </c>
    </row>
    <row r="35" spans="1:7" ht="15.75">
      <c r="A35" s="26" t="s">
        <v>48</v>
      </c>
      <c r="B35" s="26"/>
      <c r="C35" s="26"/>
      <c r="D35" s="26"/>
      <c r="E35" s="26"/>
      <c r="F35" s="26"/>
      <c r="G35" s="32">
        <f>G15+G16+G17+G18+G19+G20+G21+G22+G23+G24+G26+G30+G31+G32+G33+G34+G27+G28+G29+G25</f>
        <v>15277.896158898871</v>
      </c>
    </row>
    <row r="36" spans="1:7" ht="20.25" customHeight="1">
      <c r="A36" s="33" t="s">
        <v>49</v>
      </c>
      <c r="B36" s="33"/>
      <c r="C36" s="33"/>
      <c r="D36" s="33"/>
      <c r="E36" s="33"/>
      <c r="F36" s="33"/>
      <c r="G36" s="29"/>
    </row>
    <row r="37" spans="1:7" ht="15.75" hidden="1">
      <c r="A37" s="28" t="s">
        <v>50</v>
      </c>
      <c r="B37" s="28"/>
      <c r="C37" s="28"/>
      <c r="D37" s="28"/>
      <c r="E37" s="28"/>
      <c r="F37" s="28"/>
      <c r="G37" s="29">
        <f>B3*2.96*12</f>
        <v>9338.207999999999</v>
      </c>
    </row>
    <row r="38" spans="1:7" ht="15.75">
      <c r="A38" s="28" t="s">
        <v>51</v>
      </c>
      <c r="B38" s="28"/>
      <c r="C38" s="28"/>
      <c r="D38" s="28"/>
      <c r="E38" s="28"/>
      <c r="F38" s="28"/>
      <c r="G38" s="29"/>
    </row>
    <row r="39" spans="1:7" ht="15.75" hidden="1">
      <c r="A39" s="34" t="s">
        <v>52</v>
      </c>
      <c r="B39" s="34"/>
      <c r="C39" s="34"/>
      <c r="D39" s="34"/>
      <c r="E39" s="34"/>
      <c r="F39" s="34"/>
      <c r="G39" s="29"/>
    </row>
    <row r="40" spans="1:7" ht="15.75" hidden="1">
      <c r="A40" s="34" t="s">
        <v>53</v>
      </c>
      <c r="B40" s="34"/>
      <c r="C40" s="34"/>
      <c r="D40" s="34"/>
      <c r="E40" s="34"/>
      <c r="F40" s="34"/>
      <c r="G40" s="29"/>
    </row>
    <row r="41" spans="1:7" ht="15.75" hidden="1">
      <c r="A41" s="34" t="s">
        <v>54</v>
      </c>
      <c r="B41" s="34"/>
      <c r="C41" s="34"/>
      <c r="D41" s="34"/>
      <c r="E41" s="34"/>
      <c r="F41" s="34"/>
      <c r="G41" s="29"/>
    </row>
    <row r="42" spans="1:7" ht="15.75" hidden="1">
      <c r="A42" s="34" t="s">
        <v>55</v>
      </c>
      <c r="B42" s="34"/>
      <c r="C42" s="34"/>
      <c r="D42" s="34"/>
      <c r="E42" s="34"/>
      <c r="F42" s="34"/>
      <c r="G42" s="29"/>
    </row>
    <row r="43" spans="1:7" ht="15.75" hidden="1">
      <c r="A43" s="34" t="s">
        <v>56</v>
      </c>
      <c r="B43" s="34"/>
      <c r="C43" s="34"/>
      <c r="D43" s="34"/>
      <c r="E43" s="34"/>
      <c r="F43" s="34"/>
      <c r="G43" s="29"/>
    </row>
    <row r="44" spans="1:7" ht="15.75" hidden="1">
      <c r="A44" s="34" t="s">
        <v>57</v>
      </c>
      <c r="B44" s="34"/>
      <c r="C44" s="34"/>
      <c r="D44" s="34"/>
      <c r="E44" s="34"/>
      <c r="F44" s="34"/>
      <c r="G44" s="29"/>
    </row>
    <row r="45" spans="1:7" ht="15.75">
      <c r="A45" s="34" t="s">
        <v>58</v>
      </c>
      <c r="B45" s="34"/>
      <c r="C45" s="34"/>
      <c r="D45" s="34"/>
      <c r="E45" s="34"/>
      <c r="F45" s="34"/>
      <c r="G45" s="29">
        <v>168</v>
      </c>
    </row>
    <row r="46" spans="1:7" ht="15.75" hidden="1">
      <c r="A46" s="34" t="s">
        <v>59</v>
      </c>
      <c r="B46" s="34"/>
      <c r="C46" s="34"/>
      <c r="D46" s="34"/>
      <c r="E46" s="34"/>
      <c r="F46" s="34"/>
      <c r="G46" s="29"/>
    </row>
    <row r="47" spans="1:7" ht="15.75" hidden="1">
      <c r="A47" s="34" t="s">
        <v>60</v>
      </c>
      <c r="B47" s="34"/>
      <c r="C47" s="34"/>
      <c r="D47" s="34"/>
      <c r="E47" s="34"/>
      <c r="F47" s="34"/>
      <c r="G47" s="29"/>
    </row>
    <row r="48" spans="1:7" ht="15.75" hidden="1">
      <c r="A48" s="34" t="s">
        <v>61</v>
      </c>
      <c r="B48" s="34"/>
      <c r="C48" s="34"/>
      <c r="D48" s="34"/>
      <c r="E48" s="34"/>
      <c r="F48" s="34"/>
      <c r="G48" s="29"/>
    </row>
    <row r="49" spans="1:7" ht="15.75" hidden="1">
      <c r="A49" s="34" t="s">
        <v>62</v>
      </c>
      <c r="B49" s="34"/>
      <c r="C49" s="34"/>
      <c r="D49" s="34"/>
      <c r="E49" s="34"/>
      <c r="F49" s="34"/>
      <c r="G49" s="29"/>
    </row>
    <row r="50" spans="1:7" ht="15.75">
      <c r="A50" s="34" t="s">
        <v>63</v>
      </c>
      <c r="B50" s="34"/>
      <c r="C50" s="34"/>
      <c r="D50" s="34"/>
      <c r="E50" s="34"/>
      <c r="F50" s="34"/>
      <c r="G50" s="29">
        <v>1040</v>
      </c>
    </row>
    <row r="51" spans="1:7" ht="15.75" hidden="1">
      <c r="A51" s="34" t="s">
        <v>64</v>
      </c>
      <c r="B51" s="34"/>
      <c r="C51" s="34"/>
      <c r="D51" s="34"/>
      <c r="E51" s="34"/>
      <c r="F51" s="34"/>
      <c r="G51" s="29"/>
    </row>
    <row r="52" spans="1:7" ht="15.75" hidden="1">
      <c r="A52" s="34" t="s">
        <v>65</v>
      </c>
      <c r="B52" s="34"/>
      <c r="C52" s="34"/>
      <c r="D52" s="34"/>
      <c r="E52" s="34"/>
      <c r="F52" s="34"/>
      <c r="G52" s="29"/>
    </row>
    <row r="53" spans="1:7" ht="18.75" customHeight="1">
      <c r="A53" s="33" t="s">
        <v>66</v>
      </c>
      <c r="B53" s="33"/>
      <c r="C53" s="33"/>
      <c r="D53" s="33"/>
      <c r="E53" s="33"/>
      <c r="F53" s="33"/>
      <c r="G53" s="32">
        <f>G39+G40+G41+G42+G43+G44+G45+G46+G47+G48+G49+G50+G51+G52</f>
        <v>1208</v>
      </c>
    </row>
    <row r="54" spans="1:7" ht="21" customHeight="1">
      <c r="A54" s="33" t="s">
        <v>67</v>
      </c>
      <c r="B54" s="33"/>
      <c r="C54" s="33"/>
      <c r="D54" s="33"/>
      <c r="E54" s="33"/>
      <c r="F54" s="33"/>
      <c r="G54" s="32">
        <f>G35+G53</f>
        <v>16485.89615889887</v>
      </c>
    </row>
    <row r="55" spans="1:7" ht="15.75" hidden="1">
      <c r="A55" s="28" t="s">
        <v>68</v>
      </c>
      <c r="B55" s="28"/>
      <c r="C55" s="28"/>
      <c r="D55" s="28"/>
      <c r="E55" s="28"/>
      <c r="F55" s="28"/>
      <c r="G55" s="29">
        <v>0</v>
      </c>
    </row>
    <row r="56" spans="1:7" ht="15.75">
      <c r="A56" s="41" t="s">
        <v>69</v>
      </c>
      <c r="B56" s="41"/>
      <c r="C56" s="41"/>
      <c r="D56" s="41"/>
      <c r="E56" s="41"/>
      <c r="F56" s="41"/>
      <c r="G56" s="29">
        <f>141.6*4</f>
        <v>566.4</v>
      </c>
    </row>
    <row r="57" spans="1:7" ht="15.75" customHeight="1">
      <c r="A57" s="42" t="s">
        <v>70</v>
      </c>
      <c r="B57" s="42"/>
      <c r="C57" s="42"/>
      <c r="D57" s="42"/>
      <c r="E57" s="42"/>
      <c r="F57" s="42"/>
      <c r="G57" s="32">
        <f>B3*B5*4+G56</f>
        <v>10546.083999999999</v>
      </c>
    </row>
    <row r="58" spans="1:7" ht="15.75" customHeight="1">
      <c r="A58" s="43" t="s">
        <v>71</v>
      </c>
      <c r="B58" s="43"/>
      <c r="C58" s="43"/>
      <c r="D58" s="43"/>
      <c r="E58" s="43"/>
      <c r="F58" s="43"/>
      <c r="G58" s="44">
        <v>2938.11</v>
      </c>
    </row>
    <row r="59" spans="1:7" ht="61.5" customHeight="1">
      <c r="A59" s="33" t="s">
        <v>80</v>
      </c>
      <c r="B59" s="33"/>
      <c r="C59" s="33"/>
      <c r="D59" s="33"/>
      <c r="E59" s="33"/>
      <c r="F59" s="33"/>
      <c r="G59" s="32">
        <f>G54-G57+G58-G55</f>
        <v>8877.922158898873</v>
      </c>
    </row>
  </sheetData>
  <sheetProtection selectLockedCells="1" selectUnlockedCells="1"/>
  <mergeCells count="48">
    <mergeCell ref="A1:G1"/>
    <mergeCell ref="B2:E2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40"/>
  </sheetPr>
  <dimension ref="A1:G59"/>
  <sheetViews>
    <sheetView zoomScale="75" zoomScaleNormal="75" workbookViewId="0" topLeftCell="A1">
      <pane ySplit="65535" topLeftCell="A1" activePane="topLeft" state="split"/>
      <selection pane="topLeft" activeCell="G58" activeCellId="1" sqref="A77:G138 G58"/>
      <selection pane="bottomLeft" activeCell="A1" sqref="A1"/>
    </sheetView>
  </sheetViews>
  <sheetFormatPr defaultColWidth="9.140625" defaultRowHeight="12.75"/>
  <cols>
    <col min="1" max="1" width="23.8515625" style="1" customWidth="1"/>
    <col min="2" max="2" width="11.57421875" style="1" customWidth="1"/>
    <col min="3" max="5" width="9.140625" style="1" customWidth="1"/>
    <col min="6" max="6" width="21.421875" style="1" customWidth="1"/>
    <col min="7" max="7" width="15.28125" style="1" customWidth="1"/>
    <col min="8" max="16384" width="9.140625" style="1" customWidth="1"/>
  </cols>
  <sheetData>
    <row r="1" spans="1:7" ht="39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149</v>
      </c>
      <c r="C2" s="7"/>
      <c r="D2" s="7"/>
      <c r="E2" s="7"/>
      <c r="F2" s="8" t="s">
        <v>3</v>
      </c>
      <c r="G2" s="9">
        <v>2</v>
      </c>
    </row>
    <row r="3" spans="1:7" ht="18.75">
      <c r="A3" s="6" t="s">
        <v>4</v>
      </c>
      <c r="B3" s="10">
        <v>267.5</v>
      </c>
      <c r="F3" s="8" t="s">
        <v>5</v>
      </c>
      <c r="G3" s="11">
        <v>1</v>
      </c>
    </row>
    <row r="4" spans="1:7" ht="18.75">
      <c r="A4" s="12" t="s">
        <v>6</v>
      </c>
      <c r="B4" s="13"/>
      <c r="F4" s="8" t="s">
        <v>8</v>
      </c>
      <c r="G4" s="9">
        <v>1968</v>
      </c>
    </row>
    <row r="5" spans="1:3" ht="16.5" customHeight="1">
      <c r="A5" s="12" t="s">
        <v>6</v>
      </c>
      <c r="B5" s="13">
        <v>11.3</v>
      </c>
      <c r="C5" s="1" t="s">
        <v>9</v>
      </c>
    </row>
    <row r="6" spans="1:7" ht="18.75" hidden="1">
      <c r="A6" s="14" t="s">
        <v>10</v>
      </c>
      <c r="B6" s="15">
        <v>20.6</v>
      </c>
      <c r="C6" s="16"/>
      <c r="D6" s="16"/>
      <c r="E6" s="16"/>
      <c r="F6" s="16"/>
      <c r="G6" s="16"/>
    </row>
    <row r="7" spans="1:7" ht="18.75" hidden="1">
      <c r="A7" s="14" t="s">
        <v>12</v>
      </c>
      <c r="B7" s="17">
        <v>0</v>
      </c>
      <c r="C7" s="16"/>
      <c r="D7" s="16"/>
      <c r="E7" s="16"/>
      <c r="F7" s="16"/>
      <c r="G7" s="16"/>
    </row>
    <row r="8" spans="1:7" ht="38.25" customHeight="1" hidden="1">
      <c r="A8" s="18" t="s">
        <v>13</v>
      </c>
      <c r="B8" s="19" t="s">
        <v>14</v>
      </c>
      <c r="C8" s="19" t="s">
        <v>15</v>
      </c>
      <c r="D8" s="19" t="s">
        <v>16</v>
      </c>
      <c r="E8" s="19" t="s">
        <v>17</v>
      </c>
      <c r="F8" s="16"/>
      <c r="G8" s="16"/>
    </row>
    <row r="9" spans="1:7" ht="20.25" customHeight="1" hidden="1">
      <c r="A9" s="14"/>
      <c r="B9" s="17">
        <v>230</v>
      </c>
      <c r="C9" s="17">
        <v>777</v>
      </c>
      <c r="D9" s="17">
        <v>230</v>
      </c>
      <c r="E9" s="17">
        <v>777</v>
      </c>
      <c r="F9" s="16"/>
      <c r="G9" s="16"/>
    </row>
    <row r="10" spans="1:7" ht="18.75" hidden="1">
      <c r="A10" s="14" t="s">
        <v>18</v>
      </c>
      <c r="B10" s="20">
        <v>0</v>
      </c>
      <c r="C10" s="16"/>
      <c r="D10" s="16"/>
      <c r="E10" s="16"/>
      <c r="F10" s="16"/>
      <c r="G10" s="16"/>
    </row>
    <row r="11" spans="1:7" ht="19.5" hidden="1">
      <c r="A11" s="14" t="s">
        <v>19</v>
      </c>
      <c r="B11" s="20">
        <v>0</v>
      </c>
      <c r="C11" s="20">
        <v>133.8</v>
      </c>
      <c r="D11" s="20">
        <f>B11+C11</f>
        <v>133.8</v>
      </c>
      <c r="E11" s="16"/>
      <c r="F11" s="16"/>
      <c r="G11" s="16"/>
    </row>
    <row r="12" spans="1:7" ht="50.25" customHeight="1" hidden="1">
      <c r="A12" s="14" t="s">
        <v>20</v>
      </c>
      <c r="B12" s="19" t="s">
        <v>21</v>
      </c>
      <c r="C12" s="21" t="s">
        <v>22</v>
      </c>
      <c r="D12" s="19" t="s">
        <v>23</v>
      </c>
      <c r="E12" s="22" t="s">
        <v>24</v>
      </c>
      <c r="F12" s="17" t="s">
        <v>25</v>
      </c>
      <c r="G12" s="16"/>
    </row>
    <row r="13" spans="1:7" ht="23.25" customHeight="1" hidden="1">
      <c r="A13" s="23"/>
      <c r="B13" s="24">
        <v>8</v>
      </c>
      <c r="C13" s="24">
        <v>8</v>
      </c>
      <c r="D13" s="24"/>
      <c r="E13" s="25">
        <f>D13+C13+B13</f>
        <v>16</v>
      </c>
      <c r="F13" s="17"/>
      <c r="G13" s="16"/>
    </row>
    <row r="14" spans="1:7" ht="18.75" customHeight="1">
      <c r="A14" s="26" t="s">
        <v>26</v>
      </c>
      <c r="B14" s="26"/>
      <c r="C14" s="26"/>
      <c r="D14" s="26"/>
      <c r="E14" s="26"/>
      <c r="F14" s="26"/>
      <c r="G14" s="27" t="s">
        <v>27</v>
      </c>
    </row>
    <row r="15" spans="1:7" ht="15.75">
      <c r="A15" s="28" t="s">
        <v>28</v>
      </c>
      <c r="B15" s="28"/>
      <c r="C15" s="28"/>
      <c r="D15" s="28"/>
      <c r="E15" s="28"/>
      <c r="F15" s="28"/>
      <c r="G15" s="29">
        <f>B6*8.689*4</f>
        <v>715.9736</v>
      </c>
    </row>
    <row r="16" spans="1:7" ht="15.75" hidden="1">
      <c r="A16" s="28" t="s">
        <v>29</v>
      </c>
      <c r="B16" s="28"/>
      <c r="C16" s="28"/>
      <c r="D16" s="28"/>
      <c r="E16" s="28"/>
      <c r="F16" s="28"/>
      <c r="G16" s="29">
        <f>B7*19.03*12</f>
        <v>0</v>
      </c>
    </row>
    <row r="17" spans="1:7" ht="15.75" hidden="1">
      <c r="A17" s="28" t="s">
        <v>30</v>
      </c>
      <c r="B17" s="28"/>
      <c r="C17" s="28"/>
      <c r="D17" s="28"/>
      <c r="E17" s="28"/>
      <c r="F17" s="28"/>
      <c r="G17" s="29">
        <f>B10*0.4523*12</f>
        <v>0</v>
      </c>
    </row>
    <row r="18" spans="1:7" ht="15.75">
      <c r="A18" s="28" t="s">
        <v>31</v>
      </c>
      <c r="B18" s="28"/>
      <c r="C18" s="28"/>
      <c r="D18" s="28"/>
      <c r="E18" s="28"/>
      <c r="F18" s="28"/>
      <c r="G18" s="29">
        <f>(B9*12.84/100*64)+(C9*9.63/100*38)+(D9*32.11/100*26)+(E9*2.41/100*5)</f>
        <v>6747.208299999999</v>
      </c>
    </row>
    <row r="19" spans="1:7" ht="15.75" customHeight="1">
      <c r="A19" s="30" t="s">
        <v>32</v>
      </c>
      <c r="B19" s="30"/>
      <c r="C19" s="30"/>
      <c r="D19" s="30"/>
      <c r="E19" s="30"/>
      <c r="F19" s="30"/>
      <c r="G19" s="31">
        <f>574906.73/199064.79*B3</f>
        <v>772.5502349009083</v>
      </c>
    </row>
    <row r="20" spans="1:7" ht="15.75">
      <c r="A20" s="28" t="s">
        <v>33</v>
      </c>
      <c r="B20" s="28"/>
      <c r="C20" s="28"/>
      <c r="D20" s="28"/>
      <c r="E20" s="28"/>
      <c r="F20" s="28"/>
      <c r="G20" s="29">
        <f>D11*0.14*2</f>
        <v>37.464000000000006</v>
      </c>
    </row>
    <row r="21" spans="1:7" ht="15.75" hidden="1">
      <c r="A21" s="28" t="s">
        <v>34</v>
      </c>
      <c r="B21" s="28"/>
      <c r="C21" s="28"/>
      <c r="D21" s="28"/>
      <c r="E21" s="28"/>
      <c r="F21" s="28"/>
      <c r="G21" s="29">
        <v>0</v>
      </c>
    </row>
    <row r="22" spans="1:7" ht="15.75">
      <c r="A22" s="28" t="s">
        <v>35</v>
      </c>
      <c r="B22" s="28"/>
      <c r="C22" s="28"/>
      <c r="D22" s="28"/>
      <c r="E22" s="28"/>
      <c r="F22" s="28"/>
      <c r="G22" s="29">
        <f>B3*0.845*4</f>
        <v>904.15</v>
      </c>
    </row>
    <row r="23" spans="1:7" ht="15.75" hidden="1">
      <c r="A23" s="28" t="s">
        <v>36</v>
      </c>
      <c r="B23" s="28"/>
      <c r="C23" s="28"/>
      <c r="D23" s="28"/>
      <c r="E23" s="28"/>
      <c r="F23" s="28"/>
      <c r="G23" s="29">
        <v>0</v>
      </c>
    </row>
    <row r="24" spans="1:7" ht="15.75" hidden="1">
      <c r="A24" s="28" t="s">
        <v>37</v>
      </c>
      <c r="B24" s="28"/>
      <c r="C24" s="28"/>
      <c r="D24" s="28"/>
      <c r="E24" s="28"/>
      <c r="F24" s="28"/>
      <c r="G24" s="29">
        <v>0</v>
      </c>
    </row>
    <row r="25" spans="1:7" ht="15.75" hidden="1">
      <c r="A25" s="28" t="s">
        <v>38</v>
      </c>
      <c r="B25" s="28"/>
      <c r="C25" s="28"/>
      <c r="D25" s="28"/>
      <c r="E25" s="28"/>
      <c r="F25" s="28"/>
      <c r="G25" s="29">
        <v>0</v>
      </c>
    </row>
    <row r="26" spans="1:7" ht="15.75">
      <c r="A26" s="28" t="s">
        <v>39</v>
      </c>
      <c r="B26" s="28"/>
      <c r="C26" s="28"/>
      <c r="D26" s="28"/>
      <c r="E26" s="28"/>
      <c r="F26" s="28"/>
      <c r="G26" s="29">
        <f>2*352</f>
        <v>704</v>
      </c>
    </row>
    <row r="27" spans="1:7" ht="15.75" hidden="1">
      <c r="A27" s="28" t="s">
        <v>40</v>
      </c>
      <c r="B27" s="28"/>
      <c r="C27" s="28"/>
      <c r="D27" s="28"/>
      <c r="E27" s="28"/>
      <c r="F27" s="28"/>
      <c r="G27" s="29">
        <v>0</v>
      </c>
    </row>
    <row r="28" spans="1:7" ht="15.75" hidden="1">
      <c r="A28" s="28" t="s">
        <v>41</v>
      </c>
      <c r="B28" s="28"/>
      <c r="C28" s="28"/>
      <c r="D28" s="28"/>
      <c r="E28" s="28"/>
      <c r="F28" s="28"/>
      <c r="G28" s="29">
        <v>0</v>
      </c>
    </row>
    <row r="29" spans="1:7" ht="15.75" hidden="1">
      <c r="A29" s="28" t="s">
        <v>42</v>
      </c>
      <c r="B29" s="28"/>
      <c r="C29" s="28"/>
      <c r="D29" s="28"/>
      <c r="E29" s="28"/>
      <c r="F29" s="28"/>
      <c r="G29" s="29">
        <v>0</v>
      </c>
    </row>
    <row r="30" spans="1:7" ht="15.75">
      <c r="A30" s="28" t="s">
        <v>43</v>
      </c>
      <c r="B30" s="28"/>
      <c r="C30" s="28"/>
      <c r="D30" s="28"/>
      <c r="E30" s="28"/>
      <c r="F30" s="28"/>
      <c r="G30" s="29">
        <f>B3*1.75*4</f>
        <v>1872.5</v>
      </c>
    </row>
    <row r="31" spans="1:7" ht="15.75" customHeight="1">
      <c r="A31" s="30" t="s">
        <v>44</v>
      </c>
      <c r="B31" s="30"/>
      <c r="C31" s="30"/>
      <c r="D31" s="30"/>
      <c r="E31" s="30"/>
      <c r="F31" s="30"/>
      <c r="G31" s="29">
        <f>(F13*4*8.57)+(B13*2*3.14)+(C13*1*3.14)+(D13*1*3.14)</f>
        <v>75.36</v>
      </c>
    </row>
    <row r="32" spans="1:7" ht="15.75">
      <c r="A32" s="28" t="s">
        <v>45</v>
      </c>
      <c r="B32" s="28"/>
      <c r="C32" s="28"/>
      <c r="D32" s="28"/>
      <c r="E32" s="28"/>
      <c r="F32" s="28"/>
      <c r="G32" s="29">
        <f>B3*0.65*4</f>
        <v>695.5</v>
      </c>
    </row>
    <row r="33" spans="1:7" ht="15.75">
      <c r="A33" s="28" t="s">
        <v>46</v>
      </c>
      <c r="B33" s="28"/>
      <c r="C33" s="28"/>
      <c r="D33" s="28"/>
      <c r="E33" s="28"/>
      <c r="F33" s="28"/>
      <c r="G33" s="29">
        <f>B3*0.2*4</f>
        <v>214</v>
      </c>
    </row>
    <row r="34" spans="1:7" ht="15.75">
      <c r="A34" s="28" t="s">
        <v>47</v>
      </c>
      <c r="B34" s="28"/>
      <c r="C34" s="28"/>
      <c r="D34" s="28"/>
      <c r="E34" s="28"/>
      <c r="F34" s="28"/>
      <c r="G34" s="29">
        <f>B3*0.7*4</f>
        <v>749</v>
      </c>
    </row>
    <row r="35" spans="1:7" ht="15.75">
      <c r="A35" s="26" t="s">
        <v>48</v>
      </c>
      <c r="B35" s="26"/>
      <c r="C35" s="26"/>
      <c r="D35" s="26"/>
      <c r="E35" s="26"/>
      <c r="F35" s="26"/>
      <c r="G35" s="32">
        <f>G15+G16+G17+G18+G19+G20+G21+G22+G23+G24+G26+G30+G31+G32+G33+G34+G27+G28+G29+G25</f>
        <v>13487.706134900907</v>
      </c>
    </row>
    <row r="36" spans="1:7" ht="20.25" customHeight="1">
      <c r="A36" s="33" t="s">
        <v>49</v>
      </c>
      <c r="B36" s="33"/>
      <c r="C36" s="33"/>
      <c r="D36" s="33"/>
      <c r="E36" s="33"/>
      <c r="F36" s="33"/>
      <c r="G36" s="29"/>
    </row>
    <row r="37" spans="1:7" ht="15.75" hidden="1">
      <c r="A37" s="28" t="s">
        <v>50</v>
      </c>
      <c r="B37" s="28"/>
      <c r="C37" s="28"/>
      <c r="D37" s="28"/>
      <c r="E37" s="28"/>
      <c r="F37" s="28"/>
      <c r="G37" s="29">
        <f>B3*3.47*12</f>
        <v>11138.7</v>
      </c>
    </row>
    <row r="38" spans="1:7" ht="15.75">
      <c r="A38" s="28" t="s">
        <v>51</v>
      </c>
      <c r="B38" s="28"/>
      <c r="C38" s="28"/>
      <c r="D38" s="28"/>
      <c r="E38" s="28"/>
      <c r="F38" s="28"/>
      <c r="G38" s="29"/>
    </row>
    <row r="39" spans="1:7" ht="15.75" hidden="1">
      <c r="A39" s="34" t="s">
        <v>52</v>
      </c>
      <c r="B39" s="34"/>
      <c r="C39" s="34"/>
      <c r="D39" s="34"/>
      <c r="E39" s="34"/>
      <c r="F39" s="34"/>
      <c r="G39" s="29"/>
    </row>
    <row r="40" spans="1:7" ht="15.75" hidden="1">
      <c r="A40" s="34" t="s">
        <v>53</v>
      </c>
      <c r="B40" s="34"/>
      <c r="C40" s="34"/>
      <c r="D40" s="34"/>
      <c r="E40" s="34"/>
      <c r="F40" s="34"/>
      <c r="G40" s="29"/>
    </row>
    <row r="41" spans="1:7" ht="15.75" hidden="1">
      <c r="A41" s="34" t="s">
        <v>54</v>
      </c>
      <c r="B41" s="34"/>
      <c r="C41" s="34"/>
      <c r="D41" s="34"/>
      <c r="E41" s="34"/>
      <c r="F41" s="34"/>
      <c r="G41" s="29"/>
    </row>
    <row r="42" spans="1:7" ht="15.75" hidden="1">
      <c r="A42" s="34" t="s">
        <v>55</v>
      </c>
      <c r="B42" s="34"/>
      <c r="C42" s="34"/>
      <c r="D42" s="34"/>
      <c r="E42" s="34"/>
      <c r="F42" s="34"/>
      <c r="G42" s="29"/>
    </row>
    <row r="43" spans="1:7" ht="15.75" hidden="1">
      <c r="A43" s="34" t="s">
        <v>56</v>
      </c>
      <c r="B43" s="34"/>
      <c r="C43" s="34"/>
      <c r="D43" s="34"/>
      <c r="E43" s="34"/>
      <c r="F43" s="34"/>
      <c r="G43" s="29"/>
    </row>
    <row r="44" spans="1:7" ht="15.75" hidden="1">
      <c r="A44" s="34" t="s">
        <v>57</v>
      </c>
      <c r="B44" s="34"/>
      <c r="C44" s="34"/>
      <c r="D44" s="34"/>
      <c r="E44" s="34"/>
      <c r="F44" s="34"/>
      <c r="G44" s="29"/>
    </row>
    <row r="45" spans="1:7" ht="15.75">
      <c r="A45" s="34" t="s">
        <v>58</v>
      </c>
      <c r="B45" s="34"/>
      <c r="C45" s="34"/>
      <c r="D45" s="34"/>
      <c r="E45" s="34"/>
      <c r="F45" s="34"/>
      <c r="G45" s="29">
        <v>168</v>
      </c>
    </row>
    <row r="46" spans="1:7" ht="15.75">
      <c r="A46" s="34" t="s">
        <v>59</v>
      </c>
      <c r="B46" s="34"/>
      <c r="C46" s="34"/>
      <c r="D46" s="34"/>
      <c r="E46" s="34"/>
      <c r="F46" s="34"/>
      <c r="G46" s="29">
        <v>2520</v>
      </c>
    </row>
    <row r="47" spans="1:7" ht="15.75" hidden="1">
      <c r="A47" s="34" t="s">
        <v>60</v>
      </c>
      <c r="B47" s="34"/>
      <c r="C47" s="34"/>
      <c r="D47" s="34"/>
      <c r="E47" s="34"/>
      <c r="F47" s="34"/>
      <c r="G47" s="29"/>
    </row>
    <row r="48" spans="1:7" ht="15.75" hidden="1">
      <c r="A48" s="34" t="s">
        <v>61</v>
      </c>
      <c r="B48" s="34"/>
      <c r="C48" s="34"/>
      <c r="D48" s="34"/>
      <c r="E48" s="34"/>
      <c r="F48" s="34"/>
      <c r="G48" s="29"/>
    </row>
    <row r="49" spans="1:7" ht="15.75" hidden="1">
      <c r="A49" s="34" t="s">
        <v>62</v>
      </c>
      <c r="B49" s="34"/>
      <c r="C49" s="34"/>
      <c r="D49" s="34"/>
      <c r="E49" s="34"/>
      <c r="F49" s="34"/>
      <c r="G49" s="29"/>
    </row>
    <row r="50" spans="1:7" ht="15.75">
      <c r="A50" s="34" t="s">
        <v>63</v>
      </c>
      <c r="B50" s="34"/>
      <c r="C50" s="34"/>
      <c r="D50" s="34"/>
      <c r="E50" s="34"/>
      <c r="F50" s="34"/>
      <c r="G50" s="29">
        <v>1850</v>
      </c>
    </row>
    <row r="51" spans="1:7" ht="15.75" hidden="1">
      <c r="A51" s="34" t="s">
        <v>64</v>
      </c>
      <c r="B51" s="34"/>
      <c r="C51" s="34"/>
      <c r="D51" s="34"/>
      <c r="E51" s="34"/>
      <c r="F51" s="34"/>
      <c r="G51" s="29"/>
    </row>
    <row r="52" spans="1:7" ht="15.75" hidden="1">
      <c r="A52" s="34" t="s">
        <v>65</v>
      </c>
      <c r="B52" s="34"/>
      <c r="C52" s="34"/>
      <c r="D52" s="34"/>
      <c r="E52" s="34"/>
      <c r="F52" s="34"/>
      <c r="G52" s="29"/>
    </row>
    <row r="53" spans="1:7" ht="15.75" customHeight="1">
      <c r="A53" s="33" t="s">
        <v>66</v>
      </c>
      <c r="B53" s="33"/>
      <c r="C53" s="33"/>
      <c r="D53" s="33"/>
      <c r="E53" s="33"/>
      <c r="F53" s="33"/>
      <c r="G53" s="32">
        <f>G39+G40+G41+G42+G43+G44+G45+G46+G47+G48+G49+G50+G51+G52</f>
        <v>4538</v>
      </c>
    </row>
    <row r="54" spans="1:7" ht="15.75" customHeight="1">
      <c r="A54" s="33" t="s">
        <v>67</v>
      </c>
      <c r="B54" s="33"/>
      <c r="C54" s="33"/>
      <c r="D54" s="33"/>
      <c r="E54" s="33"/>
      <c r="F54" s="33"/>
      <c r="G54" s="32">
        <f>G35+G53</f>
        <v>18025.70613490091</v>
      </c>
    </row>
    <row r="55" spans="1:7" ht="15.75" hidden="1">
      <c r="A55" s="28" t="s">
        <v>68</v>
      </c>
      <c r="B55" s="28"/>
      <c r="C55" s="28"/>
      <c r="D55" s="28"/>
      <c r="E55" s="28"/>
      <c r="F55" s="28"/>
      <c r="G55" s="29">
        <v>0</v>
      </c>
    </row>
    <row r="56" spans="1:7" ht="15.75">
      <c r="A56" s="41" t="s">
        <v>69</v>
      </c>
      <c r="B56" s="41"/>
      <c r="C56" s="41"/>
      <c r="D56" s="41"/>
      <c r="E56" s="41"/>
      <c r="F56" s="41"/>
      <c r="G56" s="29">
        <f>141.6*4</f>
        <v>566.4</v>
      </c>
    </row>
    <row r="57" spans="1:7" ht="15.75" customHeight="1">
      <c r="A57" s="42" t="s">
        <v>70</v>
      </c>
      <c r="B57" s="42"/>
      <c r="C57" s="42"/>
      <c r="D57" s="42"/>
      <c r="E57" s="42"/>
      <c r="F57" s="42"/>
      <c r="G57" s="32">
        <f>B3*B5*4+G56</f>
        <v>12657.4</v>
      </c>
    </row>
    <row r="58" spans="1:7" ht="15.75" customHeight="1">
      <c r="A58" s="43" t="s">
        <v>71</v>
      </c>
      <c r="B58" s="43"/>
      <c r="C58" s="43"/>
      <c r="D58" s="43"/>
      <c r="E58" s="43"/>
      <c r="F58" s="43"/>
      <c r="G58" s="44">
        <v>3855.66</v>
      </c>
    </row>
    <row r="59" spans="1:7" ht="59.25" customHeight="1">
      <c r="A59" s="33" t="s">
        <v>82</v>
      </c>
      <c r="B59" s="33"/>
      <c r="C59" s="33"/>
      <c r="D59" s="33"/>
      <c r="E59" s="33"/>
      <c r="F59" s="33"/>
      <c r="G59" s="32">
        <f>G54-G57-G55+G58</f>
        <v>9223.96613490091</v>
      </c>
    </row>
  </sheetData>
  <sheetProtection selectLockedCells="1" selectUnlockedCells="1"/>
  <mergeCells count="48">
    <mergeCell ref="A1:G1"/>
    <mergeCell ref="B2:E2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G59"/>
  <sheetViews>
    <sheetView zoomScale="75" zoomScaleNormal="75" workbookViewId="0" topLeftCell="A30">
      <pane ySplit="65535" topLeftCell="A30" activePane="topLeft" state="split"/>
      <selection pane="topLeft" activeCell="G57" activeCellId="1" sqref="A77:G138 G57"/>
      <selection pane="bottomLeft" activeCell="A30" sqref="A30"/>
    </sheetView>
  </sheetViews>
  <sheetFormatPr defaultColWidth="9.140625" defaultRowHeight="12.75"/>
  <cols>
    <col min="1" max="1" width="23.8515625" style="1" customWidth="1"/>
    <col min="2" max="2" width="11.57421875" style="1" customWidth="1"/>
    <col min="3" max="5" width="9.140625" style="1" customWidth="1"/>
    <col min="6" max="6" width="21.421875" style="1" customWidth="1"/>
    <col min="7" max="7" width="15.57421875" style="1" customWidth="1"/>
    <col min="8" max="16384" width="9.140625" style="1" customWidth="1"/>
  </cols>
  <sheetData>
    <row r="1" spans="1:7" ht="39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85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4</v>
      </c>
      <c r="B3" s="10">
        <v>6197.3</v>
      </c>
      <c r="F3" s="8" t="s">
        <v>5</v>
      </c>
      <c r="G3" s="11">
        <v>8</v>
      </c>
    </row>
    <row r="4" spans="1:7" ht="18.75">
      <c r="A4" s="12" t="s">
        <v>6</v>
      </c>
      <c r="B4" s="13"/>
      <c r="F4" s="8" t="s">
        <v>8</v>
      </c>
      <c r="G4" s="9">
        <v>1972</v>
      </c>
    </row>
    <row r="5" spans="1:3" ht="16.5" customHeight="1">
      <c r="A5" s="12" t="s">
        <v>6</v>
      </c>
      <c r="B5" s="13">
        <v>11.3</v>
      </c>
      <c r="C5" s="1" t="s">
        <v>9</v>
      </c>
    </row>
    <row r="6" spans="1:7" ht="18.75" hidden="1">
      <c r="A6" s="14" t="s">
        <v>10</v>
      </c>
      <c r="B6" s="15">
        <v>560.8</v>
      </c>
      <c r="C6" s="16"/>
      <c r="D6" s="16"/>
      <c r="E6" s="16"/>
      <c r="F6" s="16"/>
      <c r="G6" s="16"/>
    </row>
    <row r="7" spans="1:7" ht="18.75" hidden="1">
      <c r="A7" s="14" t="s">
        <v>12</v>
      </c>
      <c r="B7" s="17">
        <v>0</v>
      </c>
      <c r="C7" s="16"/>
      <c r="D7" s="16"/>
      <c r="E7" s="16"/>
      <c r="F7" s="16"/>
      <c r="G7" s="16"/>
    </row>
    <row r="8" spans="1:7" ht="38.25" customHeight="1" hidden="1">
      <c r="A8" s="18" t="s">
        <v>13</v>
      </c>
      <c r="B8" s="19" t="s">
        <v>14</v>
      </c>
      <c r="C8" s="19" t="s">
        <v>15</v>
      </c>
      <c r="D8" s="19" t="s">
        <v>16</v>
      </c>
      <c r="E8" s="19" t="s">
        <v>17</v>
      </c>
      <c r="F8" s="16"/>
      <c r="G8" s="16"/>
    </row>
    <row r="9" spans="1:7" ht="20.25" customHeight="1" hidden="1">
      <c r="A9" s="14"/>
      <c r="B9" s="17">
        <v>1256</v>
      </c>
      <c r="C9" s="17">
        <v>5458</v>
      </c>
      <c r="D9" s="17">
        <v>735</v>
      </c>
      <c r="E9" s="17">
        <v>5979</v>
      </c>
      <c r="F9" s="16"/>
      <c r="G9" s="16"/>
    </row>
    <row r="10" spans="1:7" ht="18.75" hidden="1">
      <c r="A10" s="14" t="s">
        <v>18</v>
      </c>
      <c r="B10" s="20">
        <v>0</v>
      </c>
      <c r="C10" s="16"/>
      <c r="D10" s="16"/>
      <c r="E10" s="16"/>
      <c r="F10" s="16"/>
      <c r="G10" s="16"/>
    </row>
    <row r="11" spans="1:7" ht="19.5" hidden="1">
      <c r="A11" s="14" t="s">
        <v>19</v>
      </c>
      <c r="B11" s="20">
        <v>1450</v>
      </c>
      <c r="C11" s="20">
        <v>1127.4</v>
      </c>
      <c r="D11" s="20">
        <f>B11+C11</f>
        <v>2577.4</v>
      </c>
      <c r="E11" s="16"/>
      <c r="F11" s="16"/>
      <c r="G11" s="16"/>
    </row>
    <row r="12" spans="1:7" ht="50.25" customHeight="1" hidden="1">
      <c r="A12" s="14" t="s">
        <v>20</v>
      </c>
      <c r="B12" s="19" t="s">
        <v>21</v>
      </c>
      <c r="C12" s="21" t="s">
        <v>22</v>
      </c>
      <c r="D12" s="19" t="s">
        <v>23</v>
      </c>
      <c r="E12" s="22" t="s">
        <v>24</v>
      </c>
      <c r="F12" s="17" t="s">
        <v>25</v>
      </c>
      <c r="G12" s="16"/>
    </row>
    <row r="13" spans="1:7" ht="23.25" customHeight="1" hidden="1">
      <c r="A13" s="23"/>
      <c r="B13" s="24">
        <v>119</v>
      </c>
      <c r="C13" s="24">
        <v>119</v>
      </c>
      <c r="D13" s="24"/>
      <c r="E13" s="25">
        <f>D13+C13+B13</f>
        <v>238</v>
      </c>
      <c r="F13" s="17"/>
      <c r="G13" s="16"/>
    </row>
    <row r="14" spans="1:7" ht="18.75" customHeight="1">
      <c r="A14" s="26" t="s">
        <v>26</v>
      </c>
      <c r="B14" s="26"/>
      <c r="C14" s="26"/>
      <c r="D14" s="26"/>
      <c r="E14" s="26"/>
      <c r="F14" s="26"/>
      <c r="G14" s="27" t="s">
        <v>27</v>
      </c>
    </row>
    <row r="15" spans="1:7" ht="15.75">
      <c r="A15" s="28" t="s">
        <v>28</v>
      </c>
      <c r="B15" s="28"/>
      <c r="C15" s="28"/>
      <c r="D15" s="28"/>
      <c r="E15" s="28"/>
      <c r="F15" s="28"/>
      <c r="G15" s="29">
        <f>B6*8.689*4</f>
        <v>19491.1648</v>
      </c>
    </row>
    <row r="16" spans="1:7" ht="15.75" hidden="1">
      <c r="A16" s="28" t="s">
        <v>29</v>
      </c>
      <c r="B16" s="28"/>
      <c r="C16" s="28"/>
      <c r="D16" s="28"/>
      <c r="E16" s="28"/>
      <c r="F16" s="28"/>
      <c r="G16" s="29">
        <f>B7*19.03*12</f>
        <v>0</v>
      </c>
    </row>
    <row r="17" spans="1:7" ht="15.75" hidden="1">
      <c r="A17" s="28" t="s">
        <v>30</v>
      </c>
      <c r="B17" s="28"/>
      <c r="C17" s="28"/>
      <c r="D17" s="28"/>
      <c r="E17" s="28"/>
      <c r="F17" s="28"/>
      <c r="G17" s="29">
        <f>B10*0.4523*12</f>
        <v>0</v>
      </c>
    </row>
    <row r="18" spans="1:7" ht="15.75">
      <c r="A18" s="28" t="s">
        <v>31</v>
      </c>
      <c r="B18" s="28"/>
      <c r="C18" s="28"/>
      <c r="D18" s="28"/>
      <c r="E18" s="28"/>
      <c r="F18" s="28"/>
      <c r="G18" s="29">
        <f>(B9*12.84/100*64)+(C9*9.63/100*38)+(D9*32.11/100*26)+(E9*2.41/100*5)</f>
        <v>37151.001299999996</v>
      </c>
    </row>
    <row r="19" spans="1:7" ht="15.75" customHeight="1">
      <c r="A19" s="30" t="s">
        <v>32</v>
      </c>
      <c r="B19" s="30"/>
      <c r="C19" s="30"/>
      <c r="D19" s="30"/>
      <c r="E19" s="30"/>
      <c r="F19" s="30"/>
      <c r="G19" s="31">
        <f>574906.73/199064.79*B3</f>
        <v>17898.03951682766</v>
      </c>
    </row>
    <row r="20" spans="1:7" ht="15.75">
      <c r="A20" s="28" t="s">
        <v>33</v>
      </c>
      <c r="B20" s="28"/>
      <c r="C20" s="28"/>
      <c r="D20" s="28"/>
      <c r="E20" s="28"/>
      <c r="F20" s="28"/>
      <c r="G20" s="29">
        <f>D11*0.14*2</f>
        <v>721.6720000000001</v>
      </c>
    </row>
    <row r="21" spans="1:7" ht="15.75">
      <c r="A21" s="28" t="s">
        <v>34</v>
      </c>
      <c r="B21" s="28"/>
      <c r="C21" s="28"/>
      <c r="D21" s="28"/>
      <c r="E21" s="28"/>
      <c r="F21" s="28"/>
      <c r="G21" s="29">
        <f>95.95+6066.14+2110.78+6620.08</f>
        <v>14892.95</v>
      </c>
    </row>
    <row r="22" spans="1:7" ht="15.75">
      <c r="A22" s="28" t="s">
        <v>35</v>
      </c>
      <c r="B22" s="28"/>
      <c r="C22" s="28"/>
      <c r="D22" s="28"/>
      <c r="E22" s="28"/>
      <c r="F22" s="28"/>
      <c r="G22" s="29">
        <f>B3*0.845*4</f>
        <v>20946.874</v>
      </c>
    </row>
    <row r="23" spans="1:7" ht="15.75" hidden="1">
      <c r="A23" s="28" t="s">
        <v>36</v>
      </c>
      <c r="B23" s="28"/>
      <c r="C23" s="28"/>
      <c r="D23" s="28"/>
      <c r="E23" s="28"/>
      <c r="F23" s="28"/>
      <c r="G23" s="29">
        <v>0</v>
      </c>
    </row>
    <row r="24" spans="1:7" ht="15.75" hidden="1">
      <c r="A24" s="28" t="s">
        <v>37</v>
      </c>
      <c r="B24" s="28"/>
      <c r="C24" s="28"/>
      <c r="D24" s="28"/>
      <c r="E24" s="28"/>
      <c r="F24" s="28"/>
      <c r="G24" s="29">
        <v>0</v>
      </c>
    </row>
    <row r="25" spans="1:7" ht="15.75" hidden="1">
      <c r="A25" s="28" t="s">
        <v>38</v>
      </c>
      <c r="B25" s="28"/>
      <c r="C25" s="28"/>
      <c r="D25" s="28"/>
      <c r="E25" s="28"/>
      <c r="F25" s="28"/>
      <c r="G25" s="29">
        <v>0</v>
      </c>
    </row>
    <row r="26" spans="1:7" ht="15.75">
      <c r="A26" s="28" t="s">
        <v>39</v>
      </c>
      <c r="B26" s="28"/>
      <c r="C26" s="28"/>
      <c r="D26" s="28"/>
      <c r="E26" s="28"/>
      <c r="F26" s="28"/>
      <c r="G26" s="29">
        <f>3*352+2*251.46</f>
        <v>1558.92</v>
      </c>
    </row>
    <row r="27" spans="1:7" ht="15.75">
      <c r="A27" s="28" t="s">
        <v>40</v>
      </c>
      <c r="B27" s="28"/>
      <c r="C27" s="28"/>
      <c r="D27" s="28"/>
      <c r="E27" s="28"/>
      <c r="F27" s="28"/>
      <c r="G27" s="29">
        <f>1080.88</f>
        <v>1080.88</v>
      </c>
    </row>
    <row r="28" spans="1:7" ht="15.75" hidden="1">
      <c r="A28" s="28" t="s">
        <v>41</v>
      </c>
      <c r="B28" s="28"/>
      <c r="C28" s="28"/>
      <c r="D28" s="28"/>
      <c r="E28" s="28"/>
      <c r="F28" s="28"/>
      <c r="G28" s="29">
        <v>0</v>
      </c>
    </row>
    <row r="29" spans="1:7" ht="15.75" hidden="1">
      <c r="A29" s="28" t="s">
        <v>42</v>
      </c>
      <c r="B29" s="28"/>
      <c r="C29" s="28"/>
      <c r="D29" s="28"/>
      <c r="E29" s="28"/>
      <c r="F29" s="28"/>
      <c r="G29" s="29">
        <v>0</v>
      </c>
    </row>
    <row r="30" spans="1:7" ht="15.75">
      <c r="A30" s="28" t="s">
        <v>43</v>
      </c>
      <c r="B30" s="28"/>
      <c r="C30" s="28"/>
      <c r="D30" s="28"/>
      <c r="E30" s="28"/>
      <c r="F30" s="28"/>
      <c r="G30" s="29">
        <f>B3*1.75*4</f>
        <v>43381.1</v>
      </c>
    </row>
    <row r="31" spans="1:7" ht="15.75" customHeight="1">
      <c r="A31" s="30" t="s">
        <v>44</v>
      </c>
      <c r="B31" s="30"/>
      <c r="C31" s="30"/>
      <c r="D31" s="30"/>
      <c r="E31" s="30"/>
      <c r="F31" s="30"/>
      <c r="G31" s="29">
        <f>(F13*4*8.57)+(B13*2*3.14)+(C13*1*3.14)+(D13*1*3.14)</f>
        <v>1120.98</v>
      </c>
    </row>
    <row r="32" spans="1:7" ht="15.75">
      <c r="A32" s="28" t="s">
        <v>45</v>
      </c>
      <c r="B32" s="28"/>
      <c r="C32" s="28"/>
      <c r="D32" s="28"/>
      <c r="E32" s="28"/>
      <c r="F32" s="28"/>
      <c r="G32" s="29">
        <f>B3*0.65*4</f>
        <v>16112.980000000001</v>
      </c>
    </row>
    <row r="33" spans="1:7" ht="15.75">
      <c r="A33" s="28" t="s">
        <v>46</v>
      </c>
      <c r="B33" s="28"/>
      <c r="C33" s="28"/>
      <c r="D33" s="28"/>
      <c r="E33" s="28"/>
      <c r="F33" s="28"/>
      <c r="G33" s="29">
        <f>B3*0.2*4</f>
        <v>4957.84</v>
      </c>
    </row>
    <row r="34" spans="1:7" ht="15.75">
      <c r="A34" s="28" t="s">
        <v>47</v>
      </c>
      <c r="B34" s="28"/>
      <c r="C34" s="28"/>
      <c r="D34" s="28"/>
      <c r="E34" s="28"/>
      <c r="F34" s="28"/>
      <c r="G34" s="29">
        <f>B3*0.7*4</f>
        <v>17352.44</v>
      </c>
    </row>
    <row r="35" spans="1:7" ht="15.75">
      <c r="A35" s="26" t="s">
        <v>48</v>
      </c>
      <c r="B35" s="26"/>
      <c r="C35" s="26"/>
      <c r="D35" s="26"/>
      <c r="E35" s="26"/>
      <c r="F35" s="26"/>
      <c r="G35" s="32">
        <f>G15+G16+G17+G18+G19+G20+G21+G22+G23+G24+G26+G30+G31+G32+G33+G34+G27+G28+G29+G25</f>
        <v>196666.84161682767</v>
      </c>
    </row>
    <row r="36" spans="1:7" ht="20.25" customHeight="1">
      <c r="A36" s="33" t="s">
        <v>49</v>
      </c>
      <c r="B36" s="33"/>
      <c r="C36" s="33"/>
      <c r="D36" s="33"/>
      <c r="E36" s="33"/>
      <c r="F36" s="33"/>
      <c r="G36" s="29"/>
    </row>
    <row r="37" spans="1:7" ht="15.75" hidden="1">
      <c r="A37" s="28" t="s">
        <v>50</v>
      </c>
      <c r="B37" s="28"/>
      <c r="C37" s="28"/>
      <c r="D37" s="28"/>
      <c r="E37" s="28"/>
      <c r="F37" s="28"/>
      <c r="G37" s="29"/>
    </row>
    <row r="38" spans="1:7" ht="15.75">
      <c r="A38" s="28" t="s">
        <v>51</v>
      </c>
      <c r="B38" s="28"/>
      <c r="C38" s="28"/>
      <c r="D38" s="28"/>
      <c r="E38" s="28"/>
      <c r="F38" s="28"/>
      <c r="G38" s="29"/>
    </row>
    <row r="39" spans="1:7" ht="15.75" hidden="1">
      <c r="A39" s="34" t="s">
        <v>52</v>
      </c>
      <c r="B39" s="34"/>
      <c r="C39" s="34"/>
      <c r="D39" s="34"/>
      <c r="E39" s="34"/>
      <c r="F39" s="34"/>
      <c r="G39" s="29"/>
    </row>
    <row r="40" spans="1:7" ht="15.75" hidden="1">
      <c r="A40" s="34" t="s">
        <v>53</v>
      </c>
      <c r="B40" s="34"/>
      <c r="C40" s="34"/>
      <c r="D40" s="34"/>
      <c r="E40" s="34"/>
      <c r="F40" s="34"/>
      <c r="G40" s="29"/>
    </row>
    <row r="41" spans="1:7" ht="15.75" hidden="1">
      <c r="A41" s="34" t="s">
        <v>54</v>
      </c>
      <c r="B41" s="34"/>
      <c r="C41" s="34"/>
      <c r="D41" s="34"/>
      <c r="E41" s="34"/>
      <c r="F41" s="34"/>
      <c r="G41" s="29"/>
    </row>
    <row r="42" spans="1:7" ht="15.75" hidden="1">
      <c r="A42" s="34" t="s">
        <v>55</v>
      </c>
      <c r="B42" s="34"/>
      <c r="C42" s="34"/>
      <c r="D42" s="34"/>
      <c r="E42" s="34"/>
      <c r="F42" s="34"/>
      <c r="G42" s="29"/>
    </row>
    <row r="43" spans="1:7" ht="15.75" hidden="1">
      <c r="A43" s="34" t="s">
        <v>56</v>
      </c>
      <c r="B43" s="34"/>
      <c r="C43" s="34"/>
      <c r="D43" s="34"/>
      <c r="E43" s="34"/>
      <c r="F43" s="34"/>
      <c r="G43" s="29"/>
    </row>
    <row r="44" spans="1:7" ht="15.75" hidden="1">
      <c r="A44" s="34" t="s">
        <v>57</v>
      </c>
      <c r="B44" s="34"/>
      <c r="C44" s="34"/>
      <c r="D44" s="34"/>
      <c r="E44" s="34"/>
      <c r="F44" s="34"/>
      <c r="G44" s="29"/>
    </row>
    <row r="45" spans="1:7" ht="15.75" hidden="1">
      <c r="A45" s="34" t="s">
        <v>58</v>
      </c>
      <c r="B45" s="34"/>
      <c r="C45" s="34"/>
      <c r="D45" s="34"/>
      <c r="E45" s="34"/>
      <c r="F45" s="34"/>
      <c r="G45" s="29"/>
    </row>
    <row r="46" spans="1:7" ht="15.75" hidden="1">
      <c r="A46" s="34" t="s">
        <v>59</v>
      </c>
      <c r="B46" s="34"/>
      <c r="C46" s="34"/>
      <c r="D46" s="34"/>
      <c r="E46" s="34"/>
      <c r="F46" s="34"/>
      <c r="G46" s="29"/>
    </row>
    <row r="47" spans="1:7" ht="15.75" hidden="1">
      <c r="A47" s="34" t="s">
        <v>60</v>
      </c>
      <c r="B47" s="34"/>
      <c r="C47" s="34"/>
      <c r="D47" s="34"/>
      <c r="E47" s="34"/>
      <c r="F47" s="34"/>
      <c r="G47" s="29"/>
    </row>
    <row r="48" spans="1:7" ht="15.75" hidden="1">
      <c r="A48" s="34" t="s">
        <v>61</v>
      </c>
      <c r="B48" s="34"/>
      <c r="C48" s="34"/>
      <c r="D48" s="34"/>
      <c r="E48" s="34"/>
      <c r="F48" s="34"/>
      <c r="G48" s="29"/>
    </row>
    <row r="49" spans="1:7" ht="15.75">
      <c r="A49" s="34" t="s">
        <v>62</v>
      </c>
      <c r="B49" s="34"/>
      <c r="C49" s="34"/>
      <c r="D49" s="34"/>
      <c r="E49" s="34"/>
      <c r="F49" s="34"/>
      <c r="G49" s="29">
        <v>67900</v>
      </c>
    </row>
    <row r="50" spans="1:7" ht="15.75">
      <c r="A50" s="34" t="s">
        <v>63</v>
      </c>
      <c r="B50" s="34"/>
      <c r="C50" s="34"/>
      <c r="D50" s="34"/>
      <c r="E50" s="34"/>
      <c r="F50" s="34"/>
      <c r="G50" s="29">
        <v>17960</v>
      </c>
    </row>
    <row r="51" spans="1:7" ht="15.75" hidden="1">
      <c r="A51" s="34" t="s">
        <v>64</v>
      </c>
      <c r="B51" s="34"/>
      <c r="C51" s="34"/>
      <c r="D51" s="34"/>
      <c r="E51" s="34"/>
      <c r="F51" s="34"/>
      <c r="G51" s="29"/>
    </row>
    <row r="52" spans="1:7" ht="15.75" hidden="1">
      <c r="A52" s="34" t="s">
        <v>65</v>
      </c>
      <c r="B52" s="34"/>
      <c r="C52" s="34"/>
      <c r="D52" s="34"/>
      <c r="E52" s="34"/>
      <c r="F52" s="34"/>
      <c r="G52" s="29"/>
    </row>
    <row r="53" spans="1:7" ht="15.75" customHeight="1">
      <c r="A53" s="33" t="s">
        <v>66</v>
      </c>
      <c r="B53" s="33"/>
      <c r="C53" s="33"/>
      <c r="D53" s="33"/>
      <c r="E53" s="33"/>
      <c r="F53" s="33"/>
      <c r="G53" s="32">
        <f>G39+G40+G41+G42+G43+G44+G45+G46+G47+G48+G49+G50+G51+G52</f>
        <v>85860</v>
      </c>
    </row>
    <row r="54" spans="1:7" ht="15.75" customHeight="1">
      <c r="A54" s="33" t="s">
        <v>67</v>
      </c>
      <c r="B54" s="33"/>
      <c r="C54" s="33"/>
      <c r="D54" s="33"/>
      <c r="E54" s="33"/>
      <c r="F54" s="33"/>
      <c r="G54" s="32">
        <f>G35+G53</f>
        <v>282526.84161682765</v>
      </c>
    </row>
    <row r="55" spans="1:7" ht="15.75">
      <c r="A55" s="28" t="s">
        <v>68</v>
      </c>
      <c r="B55" s="28"/>
      <c r="C55" s="28"/>
      <c r="D55" s="28"/>
      <c r="E55" s="28"/>
      <c r="F55" s="28"/>
      <c r="G55" s="29">
        <v>-5175.58</v>
      </c>
    </row>
    <row r="56" spans="1:7" ht="15.75">
      <c r="A56" s="41" t="s">
        <v>69</v>
      </c>
      <c r="B56" s="41"/>
      <c r="C56" s="41"/>
      <c r="D56" s="41"/>
      <c r="E56" s="41"/>
      <c r="F56" s="41"/>
      <c r="G56" s="29">
        <f>2*281.58*4+141.6*4+180*4</f>
        <v>3539.04</v>
      </c>
    </row>
    <row r="57" spans="1:7" ht="15.75" customHeight="1">
      <c r="A57" s="42" t="s">
        <v>70</v>
      </c>
      <c r="B57" s="42"/>
      <c r="C57" s="42"/>
      <c r="D57" s="42"/>
      <c r="E57" s="42"/>
      <c r="F57" s="42"/>
      <c r="G57" s="32">
        <f>B3*B5*4+G56</f>
        <v>283657</v>
      </c>
    </row>
    <row r="58" spans="1:7" ht="15.75" customHeight="1">
      <c r="A58" s="43" t="s">
        <v>71</v>
      </c>
      <c r="B58" s="43"/>
      <c r="C58" s="43"/>
      <c r="D58" s="43"/>
      <c r="E58" s="43"/>
      <c r="F58" s="43"/>
      <c r="G58" s="44">
        <v>35497.95</v>
      </c>
    </row>
    <row r="59" spans="1:7" ht="68.25" customHeight="1">
      <c r="A59" s="33" t="s">
        <v>82</v>
      </c>
      <c r="B59" s="33"/>
      <c r="C59" s="33"/>
      <c r="D59" s="33"/>
      <c r="E59" s="33"/>
      <c r="F59" s="33"/>
      <c r="G59" s="32">
        <f>G54-G57-G55+G58</f>
        <v>39543.371616827644</v>
      </c>
    </row>
  </sheetData>
  <sheetProtection selectLockedCells="1" selectUnlockedCells="1"/>
  <mergeCells count="48">
    <mergeCell ref="A1:G1"/>
    <mergeCell ref="B2:E2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G59"/>
  <sheetViews>
    <sheetView zoomScale="75" zoomScaleNormal="75" workbookViewId="0" topLeftCell="A21">
      <pane ySplit="65535" topLeftCell="A21" activePane="topLeft" state="split"/>
      <selection pane="topLeft" activeCell="G58" activeCellId="1" sqref="A77:G138 G58"/>
      <selection pane="bottomLeft" activeCell="A21" sqref="A21"/>
    </sheetView>
  </sheetViews>
  <sheetFormatPr defaultColWidth="9.140625" defaultRowHeight="12.75"/>
  <cols>
    <col min="1" max="1" width="23.8515625" style="1" customWidth="1"/>
    <col min="2" max="2" width="11.57421875" style="1" customWidth="1"/>
    <col min="3" max="5" width="9.140625" style="1" customWidth="1"/>
    <col min="6" max="6" width="21.421875" style="1" customWidth="1"/>
    <col min="7" max="7" width="15.28125" style="1" customWidth="1"/>
    <col min="8" max="16384" width="9.140625" style="1" customWidth="1"/>
  </cols>
  <sheetData>
    <row r="1" spans="1:7" ht="39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86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4</v>
      </c>
      <c r="B3" s="10">
        <v>5077.6</v>
      </c>
      <c r="F3" s="8" t="s">
        <v>5</v>
      </c>
      <c r="G3" s="11">
        <v>6</v>
      </c>
    </row>
    <row r="4" spans="1:7" ht="18.75">
      <c r="A4" s="12" t="s">
        <v>6</v>
      </c>
      <c r="B4" s="13"/>
      <c r="F4" s="8" t="s">
        <v>8</v>
      </c>
      <c r="G4" s="9">
        <v>1964</v>
      </c>
    </row>
    <row r="5" spans="1:3" ht="16.5" customHeight="1">
      <c r="A5" s="12" t="s">
        <v>6</v>
      </c>
      <c r="B5" s="13">
        <v>11.3</v>
      </c>
      <c r="C5" s="1" t="s">
        <v>9</v>
      </c>
    </row>
    <row r="6" spans="1:7" ht="18.75" hidden="1">
      <c r="A6" s="14" t="s">
        <v>10</v>
      </c>
      <c r="B6" s="15">
        <v>367.8</v>
      </c>
      <c r="C6" s="16"/>
      <c r="D6" s="16"/>
      <c r="E6" s="16"/>
      <c r="F6" s="16"/>
      <c r="G6" s="16"/>
    </row>
    <row r="7" spans="1:7" ht="18.75" hidden="1">
      <c r="A7" s="14" t="s">
        <v>12</v>
      </c>
      <c r="B7" s="17">
        <v>0</v>
      </c>
      <c r="C7" s="16"/>
      <c r="D7" s="16"/>
      <c r="E7" s="16"/>
      <c r="F7" s="16"/>
      <c r="G7" s="16"/>
    </row>
    <row r="8" spans="1:7" ht="38.25" customHeight="1" hidden="1">
      <c r="A8" s="18" t="s">
        <v>13</v>
      </c>
      <c r="B8" s="19" t="s">
        <v>14</v>
      </c>
      <c r="C8" s="19" t="s">
        <v>15</v>
      </c>
      <c r="D8" s="19" t="s">
        <v>16</v>
      </c>
      <c r="E8" s="19" t="s">
        <v>17</v>
      </c>
      <c r="F8" s="16"/>
      <c r="G8" s="16"/>
    </row>
    <row r="9" spans="1:7" ht="20.25" customHeight="1" hidden="1">
      <c r="A9" s="14"/>
      <c r="B9" s="17">
        <v>675</v>
      </c>
      <c r="C9" s="17">
        <v>3767</v>
      </c>
      <c r="D9" s="17">
        <v>675</v>
      </c>
      <c r="E9" s="17">
        <v>3767</v>
      </c>
      <c r="F9" s="16"/>
      <c r="G9" s="16"/>
    </row>
    <row r="10" spans="1:7" ht="18.75" hidden="1">
      <c r="A10" s="14" t="s">
        <v>18</v>
      </c>
      <c r="B10" s="20">
        <v>0</v>
      </c>
      <c r="C10" s="16"/>
      <c r="D10" s="16"/>
      <c r="E10" s="16"/>
      <c r="F10" s="16"/>
      <c r="G10" s="16"/>
    </row>
    <row r="11" spans="1:7" ht="19.5" hidden="1">
      <c r="A11" s="14" t="s">
        <v>19</v>
      </c>
      <c r="B11" s="20">
        <v>1314</v>
      </c>
      <c r="C11" s="20">
        <v>942</v>
      </c>
      <c r="D11" s="20">
        <f>B11+C11</f>
        <v>2256</v>
      </c>
      <c r="E11" s="16"/>
      <c r="F11" s="16"/>
      <c r="G11" s="16"/>
    </row>
    <row r="12" spans="1:7" ht="50.25" customHeight="1" hidden="1">
      <c r="A12" s="14" t="s">
        <v>20</v>
      </c>
      <c r="B12" s="19" t="s">
        <v>21</v>
      </c>
      <c r="C12" s="21" t="s">
        <v>22</v>
      </c>
      <c r="D12" s="19" t="s">
        <v>23</v>
      </c>
      <c r="E12" s="22" t="s">
        <v>24</v>
      </c>
      <c r="F12" s="17" t="s">
        <v>25</v>
      </c>
      <c r="G12" s="16"/>
    </row>
    <row r="13" spans="1:7" ht="23.25" customHeight="1" hidden="1">
      <c r="A13" s="23"/>
      <c r="B13" s="24">
        <v>120</v>
      </c>
      <c r="C13" s="24">
        <v>120</v>
      </c>
      <c r="D13" s="24"/>
      <c r="E13" s="25">
        <f>D13+C13+B13</f>
        <v>240</v>
      </c>
      <c r="F13" s="17"/>
      <c r="G13" s="16"/>
    </row>
    <row r="14" spans="1:7" ht="18.75" customHeight="1">
      <c r="A14" s="26" t="s">
        <v>26</v>
      </c>
      <c r="B14" s="26"/>
      <c r="C14" s="26"/>
      <c r="D14" s="26"/>
      <c r="E14" s="26"/>
      <c r="F14" s="26"/>
      <c r="G14" s="27" t="s">
        <v>27</v>
      </c>
    </row>
    <row r="15" spans="1:7" ht="15.75">
      <c r="A15" s="28" t="s">
        <v>28</v>
      </c>
      <c r="B15" s="28"/>
      <c r="C15" s="28"/>
      <c r="D15" s="28"/>
      <c r="E15" s="28"/>
      <c r="F15" s="28"/>
      <c r="G15" s="29">
        <f>B6*8.689*4</f>
        <v>12783.256800000001</v>
      </c>
    </row>
    <row r="16" spans="1:7" ht="15.75" hidden="1">
      <c r="A16" s="28" t="s">
        <v>29</v>
      </c>
      <c r="B16" s="28"/>
      <c r="C16" s="28"/>
      <c r="D16" s="28"/>
      <c r="E16" s="28"/>
      <c r="F16" s="28"/>
      <c r="G16" s="29">
        <f>B7*19.03*12</f>
        <v>0</v>
      </c>
    </row>
    <row r="17" spans="1:7" ht="15.75" hidden="1">
      <c r="A17" s="28" t="s">
        <v>30</v>
      </c>
      <c r="B17" s="28"/>
      <c r="C17" s="28"/>
      <c r="D17" s="28"/>
      <c r="E17" s="28"/>
      <c r="F17" s="28"/>
      <c r="G17" s="29">
        <f>B10*0.4523*12</f>
        <v>0</v>
      </c>
    </row>
    <row r="18" spans="1:7" ht="15.75">
      <c r="A18" s="28" t="s">
        <v>31</v>
      </c>
      <c r="B18" s="28"/>
      <c r="C18" s="28"/>
      <c r="D18" s="28"/>
      <c r="E18" s="28"/>
      <c r="F18" s="28"/>
      <c r="G18" s="29">
        <f>(B9*12.84/100*64)+(C9*9.63/100*38)+(D9*32.11/100*26)+(E9*2.41/100*5)</f>
        <v>25421.068300000006</v>
      </c>
    </row>
    <row r="19" spans="1:7" ht="15.75" customHeight="1">
      <c r="A19" s="30" t="s">
        <v>32</v>
      </c>
      <c r="B19" s="30"/>
      <c r="C19" s="30"/>
      <c r="D19" s="30"/>
      <c r="E19" s="30"/>
      <c r="F19" s="30"/>
      <c r="G19" s="31">
        <f>574906.73/199064.79*B3</f>
        <v>14664.303075636832</v>
      </c>
    </row>
    <row r="20" spans="1:7" ht="15.75">
      <c r="A20" s="28" t="s">
        <v>33</v>
      </c>
      <c r="B20" s="28"/>
      <c r="C20" s="28"/>
      <c r="D20" s="28"/>
      <c r="E20" s="28"/>
      <c r="F20" s="28"/>
      <c r="G20" s="29">
        <f>D11*0.14*2</f>
        <v>631.6800000000001</v>
      </c>
    </row>
    <row r="21" spans="1:7" ht="15.75">
      <c r="A21" s="28" t="s">
        <v>34</v>
      </c>
      <c r="B21" s="28"/>
      <c r="C21" s="28"/>
      <c r="D21" s="28"/>
      <c r="E21" s="28"/>
      <c r="F21" s="28"/>
      <c r="G21" s="29">
        <f>95.95+6117.12+1978.86+6620.08</f>
        <v>14812.009999999998</v>
      </c>
    </row>
    <row r="22" spans="1:7" ht="15.75">
      <c r="A22" s="28" t="s">
        <v>35</v>
      </c>
      <c r="B22" s="28"/>
      <c r="C22" s="28"/>
      <c r="D22" s="28"/>
      <c r="E22" s="28"/>
      <c r="F22" s="28"/>
      <c r="G22" s="29">
        <f>B3*0.845*4</f>
        <v>17162.288</v>
      </c>
    </row>
    <row r="23" spans="1:7" ht="15.75" hidden="1">
      <c r="A23" s="28" t="s">
        <v>36</v>
      </c>
      <c r="B23" s="28"/>
      <c r="C23" s="28"/>
      <c r="D23" s="28"/>
      <c r="E23" s="28"/>
      <c r="F23" s="28"/>
      <c r="G23" s="29">
        <v>0</v>
      </c>
    </row>
    <row r="24" spans="1:7" ht="15.75" hidden="1">
      <c r="A24" s="28" t="s">
        <v>37</v>
      </c>
      <c r="B24" s="28"/>
      <c r="C24" s="28"/>
      <c r="D24" s="28"/>
      <c r="E24" s="28"/>
      <c r="F24" s="28"/>
      <c r="G24" s="29">
        <v>0</v>
      </c>
    </row>
    <row r="25" spans="1:7" ht="15.75" hidden="1">
      <c r="A25" s="28" t="s">
        <v>38</v>
      </c>
      <c r="B25" s="28"/>
      <c r="C25" s="28"/>
      <c r="D25" s="28"/>
      <c r="E25" s="28"/>
      <c r="F25" s="28"/>
      <c r="G25" s="29">
        <v>0</v>
      </c>
    </row>
    <row r="26" spans="1:7" ht="15.75">
      <c r="A26" s="28" t="s">
        <v>39</v>
      </c>
      <c r="B26" s="28"/>
      <c r="C26" s="28"/>
      <c r="D26" s="28"/>
      <c r="E26" s="28"/>
      <c r="F26" s="28"/>
      <c r="G26" s="29">
        <f>7*352+4*251.46</f>
        <v>3469.84</v>
      </c>
    </row>
    <row r="27" spans="1:7" ht="15.75" hidden="1">
      <c r="A27" s="28" t="s">
        <v>40</v>
      </c>
      <c r="B27" s="28"/>
      <c r="C27" s="28"/>
      <c r="D27" s="28"/>
      <c r="E27" s="28"/>
      <c r="F27" s="28"/>
      <c r="G27" s="29">
        <v>0</v>
      </c>
    </row>
    <row r="28" spans="1:7" ht="15.75" hidden="1">
      <c r="A28" s="28" t="s">
        <v>41</v>
      </c>
      <c r="B28" s="28"/>
      <c r="C28" s="28"/>
      <c r="D28" s="28"/>
      <c r="E28" s="28"/>
      <c r="F28" s="28"/>
      <c r="G28" s="29">
        <v>0</v>
      </c>
    </row>
    <row r="29" spans="1:7" ht="15.75" hidden="1">
      <c r="A29" s="28" t="s">
        <v>42</v>
      </c>
      <c r="B29" s="28"/>
      <c r="C29" s="28"/>
      <c r="D29" s="28"/>
      <c r="E29" s="28"/>
      <c r="F29" s="28"/>
      <c r="G29" s="29">
        <v>0</v>
      </c>
    </row>
    <row r="30" spans="1:7" ht="15.75">
      <c r="A30" s="28" t="s">
        <v>43</v>
      </c>
      <c r="B30" s="28"/>
      <c r="C30" s="28"/>
      <c r="D30" s="28"/>
      <c r="E30" s="28"/>
      <c r="F30" s="28"/>
      <c r="G30" s="29">
        <f>B3*1.75*4</f>
        <v>35543.200000000004</v>
      </c>
    </row>
    <row r="31" spans="1:7" ht="15.75" customHeight="1">
      <c r="A31" s="30" t="s">
        <v>44</v>
      </c>
      <c r="B31" s="30"/>
      <c r="C31" s="30"/>
      <c r="D31" s="30"/>
      <c r="E31" s="30"/>
      <c r="F31" s="30"/>
      <c r="G31" s="29">
        <f>(F13*4*8.57)+(B13*2*3.14)+(C13*1*3.14)+(D13*1*3.14)</f>
        <v>1130.4</v>
      </c>
    </row>
    <row r="32" spans="1:7" ht="15.75">
      <c r="A32" s="28" t="s">
        <v>45</v>
      </c>
      <c r="B32" s="28"/>
      <c r="C32" s="28"/>
      <c r="D32" s="28"/>
      <c r="E32" s="28"/>
      <c r="F32" s="28"/>
      <c r="G32" s="29">
        <f>B3*0.65*4</f>
        <v>13201.760000000002</v>
      </c>
    </row>
    <row r="33" spans="1:7" ht="15.75">
      <c r="A33" s="28" t="s">
        <v>46</v>
      </c>
      <c r="B33" s="28"/>
      <c r="C33" s="28"/>
      <c r="D33" s="28"/>
      <c r="E33" s="28"/>
      <c r="F33" s="28"/>
      <c r="G33" s="29">
        <f>B3*0.2*4</f>
        <v>4062.0800000000004</v>
      </c>
    </row>
    <row r="34" spans="1:7" ht="15.75">
      <c r="A34" s="28" t="s">
        <v>47</v>
      </c>
      <c r="B34" s="28"/>
      <c r="C34" s="28"/>
      <c r="D34" s="28"/>
      <c r="E34" s="28"/>
      <c r="F34" s="28"/>
      <c r="G34" s="29">
        <f>B3*0.7*4</f>
        <v>14217.28</v>
      </c>
    </row>
    <row r="35" spans="1:7" ht="15.75">
      <c r="A35" s="26" t="s">
        <v>48</v>
      </c>
      <c r="B35" s="26"/>
      <c r="C35" s="26"/>
      <c r="D35" s="26"/>
      <c r="E35" s="26"/>
      <c r="F35" s="26"/>
      <c r="G35" s="32">
        <f>G15+G16+G17+G18+G19+G20+G21+G22+G23+G24+G26+G30+G31+G32+G33+G34+G27+G28+G29+G25</f>
        <v>157099.16617563684</v>
      </c>
    </row>
    <row r="36" spans="1:7" ht="20.25" customHeight="1">
      <c r="A36" s="33" t="s">
        <v>49</v>
      </c>
      <c r="B36" s="33"/>
      <c r="C36" s="33"/>
      <c r="D36" s="33"/>
      <c r="E36" s="33"/>
      <c r="F36" s="33"/>
      <c r="G36" s="29"/>
    </row>
    <row r="37" spans="1:7" ht="15.75" hidden="1">
      <c r="A37" s="28" t="s">
        <v>50</v>
      </c>
      <c r="B37" s="28"/>
      <c r="C37" s="28"/>
      <c r="D37" s="28"/>
      <c r="E37" s="28"/>
      <c r="F37" s="28"/>
      <c r="G37" s="29"/>
    </row>
    <row r="38" spans="1:7" ht="15.75">
      <c r="A38" s="28" t="s">
        <v>51</v>
      </c>
      <c r="B38" s="28"/>
      <c r="C38" s="28"/>
      <c r="D38" s="28"/>
      <c r="E38" s="28"/>
      <c r="F38" s="28"/>
      <c r="G38" s="29"/>
    </row>
    <row r="39" spans="1:7" ht="15.75" hidden="1">
      <c r="A39" s="34" t="s">
        <v>52</v>
      </c>
      <c r="B39" s="34"/>
      <c r="C39" s="34"/>
      <c r="D39" s="34"/>
      <c r="E39" s="34"/>
      <c r="F39" s="34"/>
      <c r="G39" s="29"/>
    </row>
    <row r="40" spans="1:7" ht="15.75" hidden="1">
      <c r="A40" s="34" t="s">
        <v>53</v>
      </c>
      <c r="B40" s="34"/>
      <c r="C40" s="34"/>
      <c r="D40" s="34"/>
      <c r="E40" s="34"/>
      <c r="F40" s="34"/>
      <c r="G40" s="29"/>
    </row>
    <row r="41" spans="1:7" ht="15.75" hidden="1">
      <c r="A41" s="34" t="s">
        <v>54</v>
      </c>
      <c r="B41" s="34"/>
      <c r="C41" s="34"/>
      <c r="D41" s="34"/>
      <c r="E41" s="34"/>
      <c r="F41" s="34"/>
      <c r="G41" s="29"/>
    </row>
    <row r="42" spans="1:7" ht="15.75" hidden="1">
      <c r="A42" s="34" t="s">
        <v>55</v>
      </c>
      <c r="B42" s="34"/>
      <c r="C42" s="34"/>
      <c r="D42" s="34"/>
      <c r="E42" s="34"/>
      <c r="F42" s="34"/>
      <c r="G42" s="29"/>
    </row>
    <row r="43" spans="1:7" ht="15.75" hidden="1">
      <c r="A43" s="34" t="s">
        <v>56</v>
      </c>
      <c r="B43" s="34"/>
      <c r="C43" s="34"/>
      <c r="D43" s="34"/>
      <c r="E43" s="34"/>
      <c r="F43" s="34"/>
      <c r="G43" s="29"/>
    </row>
    <row r="44" spans="1:7" ht="15.75" hidden="1">
      <c r="A44" s="34" t="s">
        <v>57</v>
      </c>
      <c r="B44" s="34"/>
      <c r="C44" s="34"/>
      <c r="D44" s="34"/>
      <c r="E44" s="34"/>
      <c r="F44" s="34"/>
      <c r="G44" s="29"/>
    </row>
    <row r="45" spans="1:7" ht="15.75">
      <c r="A45" s="34" t="s">
        <v>58</v>
      </c>
      <c r="B45" s="34"/>
      <c r="C45" s="34"/>
      <c r="D45" s="34"/>
      <c r="E45" s="34"/>
      <c r="F45" s="34"/>
      <c r="G45" s="29">
        <v>168</v>
      </c>
    </row>
    <row r="46" spans="1:7" ht="15.75" hidden="1">
      <c r="A46" s="34" t="s">
        <v>59</v>
      </c>
      <c r="B46" s="34"/>
      <c r="C46" s="34"/>
      <c r="D46" s="34"/>
      <c r="E46" s="34"/>
      <c r="F46" s="34"/>
      <c r="G46" s="29"/>
    </row>
    <row r="47" spans="1:7" ht="15.75" hidden="1">
      <c r="A47" s="34" t="s">
        <v>60</v>
      </c>
      <c r="B47" s="34"/>
      <c r="C47" s="34"/>
      <c r="D47" s="34"/>
      <c r="E47" s="34"/>
      <c r="F47" s="34"/>
      <c r="G47" s="29"/>
    </row>
    <row r="48" spans="1:7" ht="15.75" hidden="1">
      <c r="A48" s="34" t="s">
        <v>61</v>
      </c>
      <c r="B48" s="34"/>
      <c r="C48" s="34"/>
      <c r="D48" s="34"/>
      <c r="E48" s="34"/>
      <c r="F48" s="34"/>
      <c r="G48" s="29"/>
    </row>
    <row r="49" spans="1:7" ht="15.75" hidden="1">
      <c r="A49" s="34" t="s">
        <v>62</v>
      </c>
      <c r="B49" s="34"/>
      <c r="C49" s="34"/>
      <c r="D49" s="34"/>
      <c r="E49" s="34"/>
      <c r="F49" s="34"/>
      <c r="G49" s="29"/>
    </row>
    <row r="50" spans="1:7" ht="15.75">
      <c r="A50" s="34" t="s">
        <v>63</v>
      </c>
      <c r="B50" s="34"/>
      <c r="C50" s="34"/>
      <c r="D50" s="34"/>
      <c r="E50" s="34"/>
      <c r="F50" s="34"/>
      <c r="G50" s="29">
        <v>3280</v>
      </c>
    </row>
    <row r="51" spans="1:7" ht="15.75" hidden="1">
      <c r="A51" s="34" t="s">
        <v>64</v>
      </c>
      <c r="B51" s="34"/>
      <c r="C51" s="34"/>
      <c r="D51" s="34"/>
      <c r="E51" s="34"/>
      <c r="F51" s="34"/>
      <c r="G51" s="29"/>
    </row>
    <row r="52" spans="1:7" ht="15.75" hidden="1">
      <c r="A52" s="34" t="s">
        <v>65</v>
      </c>
      <c r="B52" s="34"/>
      <c r="C52" s="34"/>
      <c r="D52" s="34"/>
      <c r="E52" s="34"/>
      <c r="F52" s="34"/>
      <c r="G52" s="29"/>
    </row>
    <row r="53" spans="1:7" ht="15.75" customHeight="1">
      <c r="A53" s="33" t="s">
        <v>66</v>
      </c>
      <c r="B53" s="33"/>
      <c r="C53" s="33"/>
      <c r="D53" s="33"/>
      <c r="E53" s="33"/>
      <c r="F53" s="33"/>
      <c r="G53" s="32">
        <f>G39+G40+G41+G42+G43+G44+G45+G46+G47+G48+G49+G50+G51+G52</f>
        <v>3448</v>
      </c>
    </row>
    <row r="54" spans="1:7" ht="15.75" customHeight="1">
      <c r="A54" s="33" t="s">
        <v>67</v>
      </c>
      <c r="B54" s="33"/>
      <c r="C54" s="33"/>
      <c r="D54" s="33"/>
      <c r="E54" s="33"/>
      <c r="F54" s="33"/>
      <c r="G54" s="32">
        <f>G35+G53</f>
        <v>160547.16617563684</v>
      </c>
    </row>
    <row r="55" spans="1:7" ht="15.75" hidden="1">
      <c r="A55" s="28" t="s">
        <v>68</v>
      </c>
      <c r="B55" s="28"/>
      <c r="C55" s="28"/>
      <c r="D55" s="28"/>
      <c r="E55" s="28"/>
      <c r="F55" s="28"/>
      <c r="G55" s="29">
        <v>0</v>
      </c>
    </row>
    <row r="56" spans="1:7" ht="15.75">
      <c r="A56" s="41" t="s">
        <v>69</v>
      </c>
      <c r="B56" s="41"/>
      <c r="C56" s="41"/>
      <c r="D56" s="41"/>
      <c r="E56" s="41"/>
      <c r="F56" s="41"/>
      <c r="G56" s="29">
        <f>281.58*4+141.6*4+180*4</f>
        <v>2412.72</v>
      </c>
    </row>
    <row r="57" spans="1:7" ht="15.75" customHeight="1">
      <c r="A57" s="42" t="s">
        <v>70</v>
      </c>
      <c r="B57" s="42"/>
      <c r="C57" s="42"/>
      <c r="D57" s="42"/>
      <c r="E57" s="42"/>
      <c r="F57" s="42"/>
      <c r="G57" s="32">
        <f>B3*B5*4+G56</f>
        <v>231920.24000000002</v>
      </c>
    </row>
    <row r="58" spans="1:7" ht="15.75" customHeight="1">
      <c r="A58" s="43" t="s">
        <v>71</v>
      </c>
      <c r="B58" s="43"/>
      <c r="C58" s="43"/>
      <c r="D58" s="43"/>
      <c r="E58" s="43"/>
      <c r="F58" s="43"/>
      <c r="G58" s="44">
        <v>24903.83</v>
      </c>
    </row>
    <row r="59" spans="1:7" ht="64.5" customHeight="1">
      <c r="A59" s="33" t="s">
        <v>82</v>
      </c>
      <c r="B59" s="33"/>
      <c r="C59" s="33"/>
      <c r="D59" s="33"/>
      <c r="E59" s="33"/>
      <c r="F59" s="33"/>
      <c r="G59" s="32">
        <f>G54-G57-G55+G58</f>
        <v>-46469.24382436318</v>
      </c>
    </row>
  </sheetData>
  <sheetProtection selectLockedCells="1" selectUnlockedCells="1"/>
  <mergeCells count="48">
    <mergeCell ref="A1:G1"/>
    <mergeCell ref="B2:E2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G59"/>
  <sheetViews>
    <sheetView zoomScale="75" zoomScaleNormal="75" workbookViewId="0" topLeftCell="A23">
      <pane ySplit="65535" topLeftCell="A23" activePane="topLeft" state="split"/>
      <selection pane="topLeft" activeCell="G58" activeCellId="1" sqref="A77:G138 G58"/>
      <selection pane="bottomLeft" activeCell="A23" sqref="A23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4.57421875" style="1" customWidth="1"/>
    <col min="8" max="16384" width="9.140625" style="1" customWidth="1"/>
  </cols>
  <sheetData>
    <row r="1" spans="1:7" ht="40.5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73</v>
      </c>
      <c r="B2" s="7" t="s">
        <v>87</v>
      </c>
      <c r="C2" s="7"/>
      <c r="D2" s="7"/>
      <c r="E2" s="7"/>
      <c r="F2" s="8" t="s">
        <v>3</v>
      </c>
      <c r="G2" s="9">
        <v>10</v>
      </c>
    </row>
    <row r="3" spans="1:7" ht="18.75">
      <c r="A3" s="6" t="s">
        <v>75</v>
      </c>
      <c r="B3" s="10">
        <v>5624.7</v>
      </c>
      <c r="F3" s="8" t="s">
        <v>5</v>
      </c>
      <c r="G3" s="11">
        <v>2</v>
      </c>
    </row>
    <row r="4" spans="1:7" ht="18.75">
      <c r="A4" s="12" t="s">
        <v>76</v>
      </c>
      <c r="B4" s="13"/>
      <c r="F4" s="8" t="s">
        <v>8</v>
      </c>
      <c r="G4" s="9">
        <v>1992</v>
      </c>
    </row>
    <row r="5" spans="1:3" ht="16.5" customHeight="1">
      <c r="A5" s="12" t="s">
        <v>76</v>
      </c>
      <c r="B5" s="13">
        <v>12.64</v>
      </c>
      <c r="C5" s="1" t="s">
        <v>9</v>
      </c>
    </row>
    <row r="6" spans="1:7" ht="18.75" hidden="1">
      <c r="A6" s="14" t="s">
        <v>10</v>
      </c>
      <c r="B6" s="15">
        <v>905.8</v>
      </c>
      <c r="C6" s="16"/>
      <c r="D6" s="16"/>
      <c r="E6" s="16"/>
      <c r="F6" s="16"/>
      <c r="G6" s="16"/>
    </row>
    <row r="7" spans="1:7" ht="18.75" hidden="1">
      <c r="A7" s="14" t="s">
        <v>12</v>
      </c>
      <c r="B7" s="17">
        <v>2.2</v>
      </c>
      <c r="C7" s="16" t="s">
        <v>78</v>
      </c>
      <c r="D7" s="16">
        <v>2</v>
      </c>
      <c r="E7" s="16"/>
      <c r="F7" s="16"/>
      <c r="G7" s="16"/>
    </row>
    <row r="8" spans="1:7" ht="38.25" customHeight="1" hidden="1">
      <c r="A8" s="18" t="s">
        <v>13</v>
      </c>
      <c r="B8" s="19" t="s">
        <v>14</v>
      </c>
      <c r="C8" s="19" t="s">
        <v>15</v>
      </c>
      <c r="D8" s="19" t="s">
        <v>16</v>
      </c>
      <c r="E8" s="19" t="s">
        <v>17</v>
      </c>
      <c r="F8" s="16"/>
      <c r="G8" s="16"/>
    </row>
    <row r="9" spans="1:7" ht="20.25" customHeight="1" hidden="1">
      <c r="A9" s="14"/>
      <c r="B9" s="17">
        <v>1261</v>
      </c>
      <c r="C9" s="17">
        <v>2370</v>
      </c>
      <c r="D9" s="17">
        <v>1036</v>
      </c>
      <c r="E9" s="17">
        <v>2595</v>
      </c>
      <c r="F9" s="16"/>
      <c r="G9" s="16"/>
    </row>
    <row r="10" spans="1:7" ht="18.75" hidden="1">
      <c r="A10" s="14" t="s">
        <v>18</v>
      </c>
      <c r="B10" s="20">
        <v>5624.7</v>
      </c>
      <c r="C10" s="16"/>
      <c r="D10" s="16"/>
      <c r="E10" s="16"/>
      <c r="F10" s="16"/>
      <c r="G10" s="16"/>
    </row>
    <row r="11" spans="1:7" ht="19.5" hidden="1">
      <c r="A11" s="14" t="s">
        <v>19</v>
      </c>
      <c r="B11" s="20">
        <v>568.7</v>
      </c>
      <c r="C11" s="20">
        <v>472.2</v>
      </c>
      <c r="D11" s="20">
        <f>B11+C11</f>
        <v>1040.9</v>
      </c>
      <c r="E11" s="16"/>
      <c r="F11" s="16"/>
      <c r="G11" s="16"/>
    </row>
    <row r="12" spans="1:7" ht="50.25" customHeight="1" hidden="1">
      <c r="A12" s="14" t="s">
        <v>20</v>
      </c>
      <c r="B12" s="19" t="s">
        <v>21</v>
      </c>
      <c r="C12" s="21" t="s">
        <v>22</v>
      </c>
      <c r="D12" s="19" t="s">
        <v>23</v>
      </c>
      <c r="E12" s="22" t="s">
        <v>24</v>
      </c>
      <c r="F12" s="17" t="s">
        <v>25</v>
      </c>
      <c r="G12" s="16"/>
    </row>
    <row r="13" spans="1:7" ht="23.25" customHeight="1" hidden="1">
      <c r="A13" s="23"/>
      <c r="B13" s="24">
        <v>80</v>
      </c>
      <c r="C13" s="24">
        <v>80</v>
      </c>
      <c r="D13" s="24"/>
      <c r="E13" s="25">
        <f>D13+C13+B13</f>
        <v>160</v>
      </c>
      <c r="F13" s="17"/>
      <c r="G13" s="16"/>
    </row>
    <row r="14" spans="1:7" ht="18.75" customHeight="1">
      <c r="A14" s="26" t="s">
        <v>26</v>
      </c>
      <c r="B14" s="26"/>
      <c r="C14" s="26"/>
      <c r="D14" s="26"/>
      <c r="E14" s="26"/>
      <c r="F14" s="26"/>
      <c r="G14" s="27" t="s">
        <v>27</v>
      </c>
    </row>
    <row r="15" spans="1:7" ht="15.75">
      <c r="A15" s="28" t="s">
        <v>28</v>
      </c>
      <c r="B15" s="28"/>
      <c r="C15" s="28"/>
      <c r="D15" s="28"/>
      <c r="E15" s="28"/>
      <c r="F15" s="28"/>
      <c r="G15" s="29">
        <f>B6*7.012*4</f>
        <v>25405.878399999998</v>
      </c>
    </row>
    <row r="16" spans="1:7" ht="15.75">
      <c r="A16" s="28" t="s">
        <v>29</v>
      </c>
      <c r="B16" s="28"/>
      <c r="C16" s="28"/>
      <c r="D16" s="28"/>
      <c r="E16" s="28"/>
      <c r="F16" s="28"/>
      <c r="G16" s="29">
        <f>B7*35.705*4</f>
        <v>314.204</v>
      </c>
    </row>
    <row r="17" spans="1:7" ht="15.75">
      <c r="A17" s="28" t="s">
        <v>30</v>
      </c>
      <c r="B17" s="28"/>
      <c r="C17" s="28"/>
      <c r="D17" s="28"/>
      <c r="E17" s="28"/>
      <c r="F17" s="28"/>
      <c r="G17" s="29">
        <f>B10*0.3613*4</f>
        <v>8128.81644</v>
      </c>
    </row>
    <row r="18" spans="1:7" ht="15.75">
      <c r="A18" s="28" t="s">
        <v>31</v>
      </c>
      <c r="B18" s="28"/>
      <c r="C18" s="28"/>
      <c r="D18" s="28"/>
      <c r="E18" s="28"/>
      <c r="F18" s="28"/>
      <c r="G18" s="29">
        <f>(B9*9.46/100*64)+(C9*7.09/100*38)+(D9*23.66/100*26)+(E9*1.77/100*5)</f>
        <v>20622.5675</v>
      </c>
    </row>
    <row r="19" spans="1:7" ht="15.75" customHeight="1">
      <c r="A19" s="30" t="s">
        <v>32</v>
      </c>
      <c r="B19" s="30"/>
      <c r="C19" s="30"/>
      <c r="D19" s="30"/>
      <c r="E19" s="30"/>
      <c r="F19" s="30"/>
      <c r="G19" s="31">
        <f>574906.73/199064.79*B3</f>
        <v>16244.348808400518</v>
      </c>
    </row>
    <row r="20" spans="1:7" ht="15.75">
      <c r="A20" s="28" t="s">
        <v>33</v>
      </c>
      <c r="B20" s="28"/>
      <c r="C20" s="28"/>
      <c r="D20" s="28"/>
      <c r="E20" s="28"/>
      <c r="F20" s="28"/>
      <c r="G20" s="29">
        <f>D11*0.14*2</f>
        <v>291.45200000000006</v>
      </c>
    </row>
    <row r="21" spans="1:7" ht="15.75">
      <c r="A21" s="28" t="s">
        <v>34</v>
      </c>
      <c r="B21" s="28"/>
      <c r="C21" s="28"/>
      <c r="D21" s="28"/>
      <c r="E21" s="28"/>
      <c r="F21" s="28"/>
      <c r="G21" s="29">
        <f>95.95+4078.08+527.7+179.9+3022.31</f>
        <v>7903.939999999999</v>
      </c>
    </row>
    <row r="22" spans="1:7" ht="15.75">
      <c r="A22" s="28" t="s">
        <v>35</v>
      </c>
      <c r="B22" s="28"/>
      <c r="C22" s="28"/>
      <c r="D22" s="28"/>
      <c r="E22" s="28"/>
      <c r="F22" s="28"/>
      <c r="G22" s="29">
        <f>B3*0.845*4</f>
        <v>19011.485999999997</v>
      </c>
    </row>
    <row r="23" spans="1:7" ht="15.75">
      <c r="A23" s="28" t="s">
        <v>36</v>
      </c>
      <c r="B23" s="28"/>
      <c r="C23" s="28"/>
      <c r="D23" s="28"/>
      <c r="E23" s="28"/>
      <c r="F23" s="28"/>
      <c r="G23" s="29">
        <f>B3*2.648*4</f>
        <v>59576.822400000005</v>
      </c>
    </row>
    <row r="24" spans="1:7" ht="15.75" hidden="1">
      <c r="A24" s="28" t="s">
        <v>37</v>
      </c>
      <c r="B24" s="28"/>
      <c r="C24" s="28"/>
      <c r="D24" s="28"/>
      <c r="E24" s="28"/>
      <c r="F24" s="28"/>
      <c r="G24" s="29">
        <v>0</v>
      </c>
    </row>
    <row r="25" spans="1:7" ht="15.75">
      <c r="A25" s="28" t="s">
        <v>38</v>
      </c>
      <c r="B25" s="28"/>
      <c r="C25" s="28"/>
      <c r="D25" s="28"/>
      <c r="E25" s="28"/>
      <c r="F25" s="28"/>
      <c r="G25" s="29">
        <f>403*4</f>
        <v>1612</v>
      </c>
    </row>
    <row r="26" spans="1:7" ht="15.75">
      <c r="A26" s="28" t="s">
        <v>39</v>
      </c>
      <c r="B26" s="28"/>
      <c r="C26" s="28"/>
      <c r="D26" s="28"/>
      <c r="E26" s="28"/>
      <c r="F26" s="28"/>
      <c r="G26" s="29">
        <f>3*352+3*251.46</f>
        <v>1810.38</v>
      </c>
    </row>
    <row r="27" spans="1:7" ht="15.75" hidden="1">
      <c r="A27" s="28" t="s">
        <v>40</v>
      </c>
      <c r="B27" s="28"/>
      <c r="C27" s="28"/>
      <c r="D27" s="28"/>
      <c r="E27" s="28"/>
      <c r="F27" s="28"/>
      <c r="G27" s="29">
        <v>0</v>
      </c>
    </row>
    <row r="28" spans="1:7" ht="15.75" hidden="1">
      <c r="A28" s="28" t="s">
        <v>41</v>
      </c>
      <c r="B28" s="28"/>
      <c r="C28" s="28"/>
      <c r="D28" s="28"/>
      <c r="E28" s="28"/>
      <c r="F28" s="28"/>
      <c r="G28" s="29">
        <v>0</v>
      </c>
    </row>
    <row r="29" spans="1:7" ht="15.75" hidden="1">
      <c r="A29" s="28" t="s">
        <v>42</v>
      </c>
      <c r="B29" s="28"/>
      <c r="C29" s="28"/>
      <c r="D29" s="28"/>
      <c r="E29" s="28"/>
      <c r="F29" s="28"/>
      <c r="G29" s="29">
        <v>0</v>
      </c>
    </row>
    <row r="30" spans="1:7" ht="15.75">
      <c r="A30" s="28" t="s">
        <v>43</v>
      </c>
      <c r="B30" s="28"/>
      <c r="C30" s="28"/>
      <c r="D30" s="28"/>
      <c r="E30" s="28"/>
      <c r="F30" s="28"/>
      <c r="G30" s="29">
        <f>B3*1.75*4</f>
        <v>39372.9</v>
      </c>
    </row>
    <row r="31" spans="1:7" ht="15.75" customHeight="1">
      <c r="A31" s="30" t="s">
        <v>44</v>
      </c>
      <c r="B31" s="30"/>
      <c r="C31" s="30"/>
      <c r="D31" s="30"/>
      <c r="E31" s="30"/>
      <c r="F31" s="30"/>
      <c r="G31" s="29">
        <f>(F13*4*8.57)+(B13*2*3.14)+(C13*1*3.14)+(D13*1*3.14)</f>
        <v>753.6</v>
      </c>
    </row>
    <row r="32" spans="1:7" ht="15.75">
      <c r="A32" s="28" t="s">
        <v>45</v>
      </c>
      <c r="B32" s="28"/>
      <c r="C32" s="28"/>
      <c r="D32" s="28"/>
      <c r="E32" s="28"/>
      <c r="F32" s="28"/>
      <c r="G32" s="29">
        <f>B3*0.65*4</f>
        <v>14624.22</v>
      </c>
    </row>
    <row r="33" spans="1:7" ht="15.75">
      <c r="A33" s="28" t="s">
        <v>46</v>
      </c>
      <c r="B33" s="28"/>
      <c r="C33" s="28"/>
      <c r="D33" s="28"/>
      <c r="E33" s="28"/>
      <c r="F33" s="28"/>
      <c r="G33" s="29">
        <f>B3*0.2*4</f>
        <v>4499.76</v>
      </c>
    </row>
    <row r="34" spans="1:7" ht="15.75">
      <c r="A34" s="28" t="s">
        <v>47</v>
      </c>
      <c r="B34" s="28"/>
      <c r="C34" s="28"/>
      <c r="D34" s="28"/>
      <c r="E34" s="28"/>
      <c r="F34" s="28"/>
      <c r="G34" s="29">
        <f>B3*0.7*4</f>
        <v>15749.159999999998</v>
      </c>
    </row>
    <row r="35" spans="1:7" ht="15.75">
      <c r="A35" s="26" t="s">
        <v>48</v>
      </c>
      <c r="B35" s="26"/>
      <c r="C35" s="26"/>
      <c r="D35" s="26"/>
      <c r="E35" s="26"/>
      <c r="F35" s="26"/>
      <c r="G35" s="32">
        <f>G15+G16+G17+G18+G19+G20+G21+G22+G23+G24+G26+G30+G31+G32+G33+G34+G27+G28+G29+G25</f>
        <v>235921.53554840054</v>
      </c>
    </row>
    <row r="36" spans="1:7" ht="20.25" customHeight="1">
      <c r="A36" s="33" t="s">
        <v>49</v>
      </c>
      <c r="B36" s="33"/>
      <c r="C36" s="33"/>
      <c r="D36" s="33"/>
      <c r="E36" s="33"/>
      <c r="F36" s="33"/>
      <c r="G36" s="29"/>
    </row>
    <row r="37" spans="1:7" ht="15.75" hidden="1">
      <c r="A37" s="28" t="s">
        <v>50</v>
      </c>
      <c r="B37" s="28"/>
      <c r="C37" s="28"/>
      <c r="D37" s="28"/>
      <c r="E37" s="28"/>
      <c r="F37" s="28"/>
      <c r="G37" s="29"/>
    </row>
    <row r="38" spans="1:7" ht="15.75">
      <c r="A38" s="28" t="s">
        <v>51</v>
      </c>
      <c r="B38" s="28"/>
      <c r="C38" s="28"/>
      <c r="D38" s="28"/>
      <c r="E38" s="28"/>
      <c r="F38" s="28"/>
      <c r="G38" s="29"/>
    </row>
    <row r="39" spans="1:7" ht="15.75" hidden="1">
      <c r="A39" s="34" t="s">
        <v>52</v>
      </c>
      <c r="B39" s="34"/>
      <c r="C39" s="34"/>
      <c r="D39" s="34"/>
      <c r="E39" s="34"/>
      <c r="F39" s="34"/>
      <c r="G39" s="29"/>
    </row>
    <row r="40" spans="1:7" ht="15.75" hidden="1">
      <c r="A40" s="34" t="s">
        <v>53</v>
      </c>
      <c r="B40" s="34"/>
      <c r="C40" s="34"/>
      <c r="D40" s="34"/>
      <c r="E40" s="34"/>
      <c r="F40" s="34"/>
      <c r="G40" s="29"/>
    </row>
    <row r="41" spans="1:7" ht="15.75" hidden="1">
      <c r="A41" s="34" t="s">
        <v>54</v>
      </c>
      <c r="B41" s="34"/>
      <c r="C41" s="34"/>
      <c r="D41" s="34"/>
      <c r="E41" s="34"/>
      <c r="F41" s="34"/>
      <c r="G41" s="29"/>
    </row>
    <row r="42" spans="1:7" ht="15.75" hidden="1">
      <c r="A42" s="34" t="s">
        <v>55</v>
      </c>
      <c r="B42" s="34"/>
      <c r="C42" s="34"/>
      <c r="D42" s="34"/>
      <c r="E42" s="34"/>
      <c r="F42" s="34"/>
      <c r="G42" s="29"/>
    </row>
    <row r="43" spans="1:7" ht="15.75" hidden="1">
      <c r="A43" s="34" t="s">
        <v>56</v>
      </c>
      <c r="B43" s="34"/>
      <c r="C43" s="34"/>
      <c r="D43" s="34"/>
      <c r="E43" s="34"/>
      <c r="F43" s="34"/>
      <c r="G43" s="29"/>
    </row>
    <row r="44" spans="1:7" ht="15.75" hidden="1">
      <c r="A44" s="34" t="s">
        <v>57</v>
      </c>
      <c r="B44" s="34"/>
      <c r="C44" s="34"/>
      <c r="D44" s="34"/>
      <c r="E44" s="34"/>
      <c r="F44" s="34"/>
      <c r="G44" s="29"/>
    </row>
    <row r="45" spans="1:7" ht="15.75">
      <c r="A45" s="34" t="s">
        <v>58</v>
      </c>
      <c r="B45" s="34"/>
      <c r="C45" s="34"/>
      <c r="D45" s="34"/>
      <c r="E45" s="34"/>
      <c r="F45" s="34"/>
      <c r="G45" s="29">
        <v>337</v>
      </c>
    </row>
    <row r="46" spans="1:7" ht="15.75">
      <c r="A46" s="34" t="s">
        <v>59</v>
      </c>
      <c r="B46" s="34"/>
      <c r="C46" s="34"/>
      <c r="D46" s="34"/>
      <c r="E46" s="34"/>
      <c r="F46" s="34"/>
      <c r="G46" s="29">
        <v>3780</v>
      </c>
    </row>
    <row r="47" spans="1:7" ht="15.75" hidden="1">
      <c r="A47" s="34" t="s">
        <v>60</v>
      </c>
      <c r="B47" s="34"/>
      <c r="C47" s="34"/>
      <c r="D47" s="34"/>
      <c r="E47" s="34"/>
      <c r="F47" s="34"/>
      <c r="G47" s="29"/>
    </row>
    <row r="48" spans="1:7" ht="15.75" hidden="1">
      <c r="A48" s="34" t="s">
        <v>61</v>
      </c>
      <c r="B48" s="34"/>
      <c r="C48" s="34"/>
      <c r="D48" s="34"/>
      <c r="E48" s="34"/>
      <c r="F48" s="34"/>
      <c r="G48" s="29"/>
    </row>
    <row r="49" spans="1:7" ht="15.75" hidden="1">
      <c r="A49" s="34" t="s">
        <v>62</v>
      </c>
      <c r="B49" s="34"/>
      <c r="C49" s="34"/>
      <c r="D49" s="34"/>
      <c r="E49" s="34"/>
      <c r="F49" s="34"/>
      <c r="G49" s="29"/>
    </row>
    <row r="50" spans="1:7" ht="15.75">
      <c r="A50" s="34" t="s">
        <v>63</v>
      </c>
      <c r="B50" s="34"/>
      <c r="C50" s="34"/>
      <c r="D50" s="34"/>
      <c r="E50" s="34"/>
      <c r="F50" s="34"/>
      <c r="G50" s="29">
        <v>2850</v>
      </c>
    </row>
    <row r="51" spans="1:7" ht="15.75" hidden="1">
      <c r="A51" s="34" t="s">
        <v>64</v>
      </c>
      <c r="B51" s="34"/>
      <c r="C51" s="34"/>
      <c r="D51" s="34"/>
      <c r="E51" s="34"/>
      <c r="F51" s="34"/>
      <c r="G51" s="29"/>
    </row>
    <row r="52" spans="1:7" ht="15.75" hidden="1">
      <c r="A52" s="34" t="s">
        <v>65</v>
      </c>
      <c r="B52" s="34"/>
      <c r="C52" s="34"/>
      <c r="D52" s="34"/>
      <c r="E52" s="34"/>
      <c r="F52" s="34"/>
      <c r="G52" s="29"/>
    </row>
    <row r="53" spans="1:7" ht="18.75" customHeight="1">
      <c r="A53" s="33" t="s">
        <v>66</v>
      </c>
      <c r="B53" s="33"/>
      <c r="C53" s="33"/>
      <c r="D53" s="33"/>
      <c r="E53" s="33"/>
      <c r="F53" s="33"/>
      <c r="G53" s="32">
        <f>G39+G40+G41+G42+G43+G44+G45+G46+G47+G48+G49+G50+G51+G52</f>
        <v>6967</v>
      </c>
    </row>
    <row r="54" spans="1:7" ht="21" customHeight="1">
      <c r="A54" s="33" t="s">
        <v>67</v>
      </c>
      <c r="B54" s="33"/>
      <c r="C54" s="33"/>
      <c r="D54" s="33"/>
      <c r="E54" s="33"/>
      <c r="F54" s="33"/>
      <c r="G54" s="32">
        <f>G35+G53</f>
        <v>242888.53554840054</v>
      </c>
    </row>
    <row r="55" spans="1:7" ht="15.75" hidden="1">
      <c r="A55" s="28" t="s">
        <v>68</v>
      </c>
      <c r="B55" s="28"/>
      <c r="C55" s="28"/>
      <c r="D55" s="28"/>
      <c r="E55" s="28"/>
      <c r="F55" s="28"/>
      <c r="G55" s="29">
        <v>0</v>
      </c>
    </row>
    <row r="56" spans="1:7" ht="15.75">
      <c r="A56" s="41" t="s">
        <v>69</v>
      </c>
      <c r="B56" s="41"/>
      <c r="C56" s="41"/>
      <c r="D56" s="41"/>
      <c r="E56" s="41"/>
      <c r="F56" s="41"/>
      <c r="G56" s="29">
        <f>281.58*4</f>
        <v>1126.32</v>
      </c>
    </row>
    <row r="57" spans="1:7" ht="15.75" customHeight="1">
      <c r="A57" s="42" t="s">
        <v>70</v>
      </c>
      <c r="B57" s="42"/>
      <c r="C57" s="42"/>
      <c r="D57" s="42"/>
      <c r="E57" s="42"/>
      <c r="F57" s="42"/>
      <c r="G57" s="32">
        <f>B3*B5*4+G56</f>
        <v>285511.152</v>
      </c>
    </row>
    <row r="58" spans="1:7" ht="15.75" customHeight="1">
      <c r="A58" s="43" t="s">
        <v>71</v>
      </c>
      <c r="B58" s="43"/>
      <c r="C58" s="43"/>
      <c r="D58" s="43"/>
      <c r="E58" s="43"/>
      <c r="F58" s="43"/>
      <c r="G58" s="44">
        <v>21460.86</v>
      </c>
    </row>
    <row r="59" spans="1:7" ht="69" customHeight="1">
      <c r="A59" s="33" t="s">
        <v>80</v>
      </c>
      <c r="B59" s="33"/>
      <c r="C59" s="33"/>
      <c r="D59" s="33"/>
      <c r="E59" s="33"/>
      <c r="F59" s="33"/>
      <c r="G59" s="32">
        <f>G54-G57+G58-G55</f>
        <v>-21161.75645159946</v>
      </c>
    </row>
  </sheetData>
  <sheetProtection selectLockedCells="1" selectUnlockedCells="1"/>
  <mergeCells count="48">
    <mergeCell ref="A1:G1"/>
    <mergeCell ref="B2:E2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G59"/>
  <sheetViews>
    <sheetView zoomScale="75" zoomScaleNormal="75" workbookViewId="0" topLeftCell="A30">
      <pane ySplit="65535" topLeftCell="A30" activePane="topLeft" state="split"/>
      <selection pane="topLeft" activeCell="G58" activeCellId="1" sqref="A77:G138 G58"/>
      <selection pane="bottomLeft" activeCell="A30" sqref="A30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3.7109375" style="1" customWidth="1"/>
    <col min="8" max="16384" width="9.140625" style="1" customWidth="1"/>
  </cols>
  <sheetData>
    <row r="1" spans="1:7" ht="40.5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73</v>
      </c>
      <c r="B2" s="7" t="s">
        <v>88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75</v>
      </c>
      <c r="B3" s="10">
        <v>3623.7</v>
      </c>
      <c r="F3" s="8" t="s">
        <v>5</v>
      </c>
      <c r="G3" s="11">
        <v>4</v>
      </c>
    </row>
    <row r="4" spans="1:7" ht="18.75">
      <c r="A4" s="12" t="s">
        <v>76</v>
      </c>
      <c r="B4" s="13"/>
      <c r="F4" s="8" t="s">
        <v>8</v>
      </c>
      <c r="G4" s="9">
        <v>1973</v>
      </c>
    </row>
    <row r="5" spans="1:3" ht="16.5" customHeight="1">
      <c r="A5" s="12" t="s">
        <v>76</v>
      </c>
      <c r="B5" s="13">
        <v>9.49</v>
      </c>
      <c r="C5" s="1" t="s">
        <v>9</v>
      </c>
    </row>
    <row r="6" spans="1:7" ht="18.75" hidden="1">
      <c r="A6" s="14" t="s">
        <v>10</v>
      </c>
      <c r="B6" s="15">
        <v>273</v>
      </c>
      <c r="C6" s="16"/>
      <c r="D6" s="16"/>
      <c r="E6" s="16"/>
      <c r="F6" s="16"/>
      <c r="G6" s="16"/>
    </row>
    <row r="7" spans="1:7" ht="18.75" hidden="1">
      <c r="A7" s="14" t="s">
        <v>12</v>
      </c>
      <c r="B7" s="17">
        <v>0</v>
      </c>
      <c r="C7" s="16"/>
      <c r="D7" s="16"/>
      <c r="E7" s="16"/>
      <c r="F7" s="16"/>
      <c r="G7" s="16"/>
    </row>
    <row r="8" spans="1:7" ht="38.25" customHeight="1" hidden="1">
      <c r="A8" s="18" t="s">
        <v>13</v>
      </c>
      <c r="B8" s="19" t="s">
        <v>14</v>
      </c>
      <c r="C8" s="19" t="s">
        <v>15</v>
      </c>
      <c r="D8" s="19" t="s">
        <v>16</v>
      </c>
      <c r="E8" s="19" t="s">
        <v>17</v>
      </c>
      <c r="F8" s="16"/>
      <c r="G8" s="16"/>
    </row>
    <row r="9" spans="1:7" ht="20.25" customHeight="1" hidden="1">
      <c r="A9" s="14"/>
      <c r="B9" s="17">
        <v>673</v>
      </c>
      <c r="C9" s="17">
        <v>3943</v>
      </c>
      <c r="D9" s="17">
        <v>614</v>
      </c>
      <c r="E9" s="17">
        <v>4002</v>
      </c>
      <c r="F9" s="16"/>
      <c r="G9" s="16"/>
    </row>
    <row r="10" spans="1:7" ht="18.75" hidden="1">
      <c r="A10" s="14" t="s">
        <v>18</v>
      </c>
      <c r="B10" s="20">
        <v>0</v>
      </c>
      <c r="C10" s="16"/>
      <c r="D10" s="16"/>
      <c r="E10" s="16"/>
      <c r="F10" s="16"/>
      <c r="G10" s="16"/>
    </row>
    <row r="11" spans="1:7" ht="19.5" hidden="1">
      <c r="A11" s="14" t="s">
        <v>19</v>
      </c>
      <c r="B11" s="20">
        <v>733.9</v>
      </c>
      <c r="C11" s="20">
        <v>670.2</v>
      </c>
      <c r="D11" s="20">
        <f>B11+C11</f>
        <v>1404.1</v>
      </c>
      <c r="E11" s="16"/>
      <c r="F11" s="16"/>
      <c r="G11" s="16"/>
    </row>
    <row r="12" spans="1:7" ht="50.25" customHeight="1" hidden="1">
      <c r="A12" s="14" t="s">
        <v>20</v>
      </c>
      <c r="B12" s="19" t="s">
        <v>21</v>
      </c>
      <c r="C12" s="21" t="s">
        <v>22</v>
      </c>
      <c r="D12" s="19" t="s">
        <v>23</v>
      </c>
      <c r="E12" s="22" t="s">
        <v>24</v>
      </c>
      <c r="F12" s="17" t="s">
        <v>25</v>
      </c>
      <c r="G12" s="16"/>
    </row>
    <row r="13" spans="1:7" ht="23.25" customHeight="1" hidden="1">
      <c r="A13" s="23"/>
      <c r="B13" s="24">
        <v>70</v>
      </c>
      <c r="C13" s="24">
        <v>70</v>
      </c>
      <c r="D13" s="24"/>
      <c r="E13" s="25">
        <f>D13+C13+B13</f>
        <v>140</v>
      </c>
      <c r="F13" s="17"/>
      <c r="G13" s="16"/>
    </row>
    <row r="14" spans="1:7" ht="18.75" customHeight="1">
      <c r="A14" s="26" t="s">
        <v>26</v>
      </c>
      <c r="B14" s="26"/>
      <c r="C14" s="26"/>
      <c r="D14" s="26"/>
      <c r="E14" s="26"/>
      <c r="F14" s="26"/>
      <c r="G14" s="27" t="s">
        <v>27</v>
      </c>
    </row>
    <row r="15" spans="1:7" ht="15.75">
      <c r="A15" s="28" t="s">
        <v>28</v>
      </c>
      <c r="B15" s="28"/>
      <c r="C15" s="28"/>
      <c r="D15" s="28"/>
      <c r="E15" s="28"/>
      <c r="F15" s="28"/>
      <c r="G15" s="29">
        <f>B6*7.012*4</f>
        <v>7657.103999999999</v>
      </c>
    </row>
    <row r="16" spans="1:7" ht="15.75" hidden="1">
      <c r="A16" s="28" t="s">
        <v>29</v>
      </c>
      <c r="B16" s="28"/>
      <c r="C16" s="28"/>
      <c r="D16" s="28"/>
      <c r="E16" s="28"/>
      <c r="F16" s="28"/>
      <c r="G16" s="29">
        <f>B7*35.705*12</f>
        <v>0</v>
      </c>
    </row>
    <row r="17" spans="1:7" ht="15.75" hidden="1">
      <c r="A17" s="28" t="s">
        <v>30</v>
      </c>
      <c r="B17" s="28"/>
      <c r="C17" s="28"/>
      <c r="D17" s="28"/>
      <c r="E17" s="28"/>
      <c r="F17" s="28"/>
      <c r="G17" s="29">
        <f>B10*0.3613*12</f>
        <v>0</v>
      </c>
    </row>
    <row r="18" spans="1:7" ht="15.75">
      <c r="A18" s="28" t="s">
        <v>31</v>
      </c>
      <c r="B18" s="28"/>
      <c r="C18" s="28"/>
      <c r="D18" s="28"/>
      <c r="E18" s="28"/>
      <c r="F18" s="28"/>
      <c r="G18" s="29">
        <f>(B9*9.46/100*64)+(C9*7.09/100*38)+(D9*23.66/100*26)+(E9*1.77/100*5)</f>
        <v>18829.1012</v>
      </c>
    </row>
    <row r="19" spans="1:7" ht="15.75" customHeight="1">
      <c r="A19" s="30" t="s">
        <v>32</v>
      </c>
      <c r="B19" s="30"/>
      <c r="C19" s="30"/>
      <c r="D19" s="30"/>
      <c r="E19" s="30"/>
      <c r="F19" s="30"/>
      <c r="G19" s="31">
        <f>574906.73/199064.79*B3</f>
        <v>10465.384247515594</v>
      </c>
    </row>
    <row r="20" spans="1:7" ht="15.75">
      <c r="A20" s="28" t="s">
        <v>33</v>
      </c>
      <c r="B20" s="28"/>
      <c r="C20" s="28"/>
      <c r="D20" s="28"/>
      <c r="E20" s="28"/>
      <c r="F20" s="28"/>
      <c r="G20" s="29">
        <f>D11*0.14*2</f>
        <v>393.148</v>
      </c>
    </row>
    <row r="21" spans="1:7" ht="15.75">
      <c r="A21" s="28" t="s">
        <v>34</v>
      </c>
      <c r="B21" s="28"/>
      <c r="C21" s="28"/>
      <c r="D21" s="28"/>
      <c r="E21" s="28"/>
      <c r="F21" s="28"/>
      <c r="G21" s="29">
        <f>95.95+3568.32+1055.39+3861.72</f>
        <v>8581.38</v>
      </c>
    </row>
    <row r="22" spans="1:7" ht="15.75">
      <c r="A22" s="28" t="s">
        <v>35</v>
      </c>
      <c r="B22" s="28"/>
      <c r="C22" s="28"/>
      <c r="D22" s="28"/>
      <c r="E22" s="28"/>
      <c r="F22" s="28"/>
      <c r="G22" s="29">
        <f>B3*0.845*4</f>
        <v>12248.106</v>
      </c>
    </row>
    <row r="23" spans="1:7" ht="15.75" hidden="1">
      <c r="A23" s="28" t="s">
        <v>36</v>
      </c>
      <c r="B23" s="28"/>
      <c r="C23" s="28"/>
      <c r="D23" s="28"/>
      <c r="E23" s="28"/>
      <c r="F23" s="28"/>
      <c r="G23" s="29">
        <v>0</v>
      </c>
    </row>
    <row r="24" spans="1:7" ht="15.75" hidden="1">
      <c r="A24" s="28" t="s">
        <v>37</v>
      </c>
      <c r="B24" s="28"/>
      <c r="C24" s="28"/>
      <c r="D24" s="28"/>
      <c r="E24" s="28"/>
      <c r="F24" s="28"/>
      <c r="G24" s="29">
        <v>0</v>
      </c>
    </row>
    <row r="25" spans="1:7" ht="15.75" hidden="1">
      <c r="A25" s="28" t="s">
        <v>38</v>
      </c>
      <c r="B25" s="28"/>
      <c r="C25" s="28"/>
      <c r="D25" s="28"/>
      <c r="E25" s="28"/>
      <c r="F25" s="28"/>
      <c r="G25" s="29">
        <v>0</v>
      </c>
    </row>
    <row r="26" spans="1:7" ht="15.75">
      <c r="A26" s="28" t="s">
        <v>39</v>
      </c>
      <c r="B26" s="28"/>
      <c r="C26" s="28"/>
      <c r="D26" s="28"/>
      <c r="E26" s="28"/>
      <c r="F26" s="28"/>
      <c r="G26" s="29">
        <f>4*352+4*251.46</f>
        <v>2413.84</v>
      </c>
    </row>
    <row r="27" spans="1:7" ht="15.75">
      <c r="A27" s="28" t="s">
        <v>40</v>
      </c>
      <c r="B27" s="28"/>
      <c r="C27" s="28"/>
      <c r="D27" s="28"/>
      <c r="E27" s="28"/>
      <c r="F27" s="28"/>
      <c r="G27" s="29">
        <f>1080.88</f>
        <v>1080.88</v>
      </c>
    </row>
    <row r="28" spans="1:7" ht="15.75" hidden="1">
      <c r="A28" s="28" t="s">
        <v>41</v>
      </c>
      <c r="B28" s="28"/>
      <c r="C28" s="28"/>
      <c r="D28" s="28"/>
      <c r="E28" s="28"/>
      <c r="F28" s="28"/>
      <c r="G28" s="29">
        <v>0</v>
      </c>
    </row>
    <row r="29" spans="1:7" ht="15.75" hidden="1">
      <c r="A29" s="28" t="s">
        <v>42</v>
      </c>
      <c r="B29" s="28"/>
      <c r="C29" s="28"/>
      <c r="D29" s="28"/>
      <c r="E29" s="28"/>
      <c r="F29" s="28"/>
      <c r="G29" s="29">
        <v>0</v>
      </c>
    </row>
    <row r="30" spans="1:7" ht="15.75">
      <c r="A30" s="28" t="s">
        <v>43</v>
      </c>
      <c r="B30" s="28"/>
      <c r="C30" s="28"/>
      <c r="D30" s="28"/>
      <c r="E30" s="28"/>
      <c r="F30" s="28"/>
      <c r="G30" s="29">
        <f>B3*1.75*4</f>
        <v>25365.899999999998</v>
      </c>
    </row>
    <row r="31" spans="1:7" ht="15.75" customHeight="1">
      <c r="A31" s="30" t="s">
        <v>44</v>
      </c>
      <c r="B31" s="30"/>
      <c r="C31" s="30"/>
      <c r="D31" s="30"/>
      <c r="E31" s="30"/>
      <c r="F31" s="30"/>
      <c r="G31" s="29">
        <f>(F13*4*8.57)+(B13*2*3.14)+(C13*1*3.14)+(D13*1*3.14)</f>
        <v>659.4000000000001</v>
      </c>
    </row>
    <row r="32" spans="1:7" ht="15.75">
      <c r="A32" s="28" t="s">
        <v>45</v>
      </c>
      <c r="B32" s="28"/>
      <c r="C32" s="28"/>
      <c r="D32" s="28"/>
      <c r="E32" s="28"/>
      <c r="F32" s="28"/>
      <c r="G32" s="29">
        <f>B3*0.65*4</f>
        <v>9421.619999999999</v>
      </c>
    </row>
    <row r="33" spans="1:7" ht="15.75">
      <c r="A33" s="28" t="s">
        <v>46</v>
      </c>
      <c r="B33" s="28"/>
      <c r="C33" s="28"/>
      <c r="D33" s="28"/>
      <c r="E33" s="28"/>
      <c r="F33" s="28"/>
      <c r="G33" s="29">
        <f>B3*0.2*4</f>
        <v>2898.96</v>
      </c>
    </row>
    <row r="34" spans="1:7" ht="15.75">
      <c r="A34" s="28" t="s">
        <v>47</v>
      </c>
      <c r="B34" s="28"/>
      <c r="C34" s="28"/>
      <c r="D34" s="28"/>
      <c r="E34" s="28"/>
      <c r="F34" s="28"/>
      <c r="G34" s="29">
        <f>B3*0.7*4</f>
        <v>10146.359999999999</v>
      </c>
    </row>
    <row r="35" spans="1:7" ht="15.75">
      <c r="A35" s="26" t="s">
        <v>48</v>
      </c>
      <c r="B35" s="26"/>
      <c r="C35" s="26"/>
      <c r="D35" s="26"/>
      <c r="E35" s="26"/>
      <c r="F35" s="26"/>
      <c r="G35" s="32">
        <f>G15+G16+G17+G18+G19+G20+G21+G22+G23+G24+G26+G30+G31+G32+G33+G34+G27+G28+G29+G25</f>
        <v>110161.18344751559</v>
      </c>
    </row>
    <row r="36" spans="1:7" ht="20.25" customHeight="1">
      <c r="A36" s="33" t="s">
        <v>49</v>
      </c>
      <c r="B36" s="33"/>
      <c r="C36" s="33"/>
      <c r="D36" s="33"/>
      <c r="E36" s="33"/>
      <c r="F36" s="33"/>
      <c r="G36" s="29"/>
    </row>
    <row r="37" spans="1:7" ht="15.75" hidden="1">
      <c r="A37" s="28" t="s">
        <v>50</v>
      </c>
      <c r="B37" s="28"/>
      <c r="C37" s="28"/>
      <c r="D37" s="28"/>
      <c r="E37" s="28"/>
      <c r="F37" s="28"/>
      <c r="G37" s="29"/>
    </row>
    <row r="38" spans="1:7" ht="15.75">
      <c r="A38" s="28" t="s">
        <v>51</v>
      </c>
      <c r="B38" s="28"/>
      <c r="C38" s="28"/>
      <c r="D38" s="28"/>
      <c r="E38" s="28"/>
      <c r="F38" s="28"/>
      <c r="G38" s="29"/>
    </row>
    <row r="39" spans="1:7" ht="15.75" hidden="1">
      <c r="A39" s="34" t="s">
        <v>52</v>
      </c>
      <c r="B39" s="34"/>
      <c r="C39" s="34"/>
      <c r="D39" s="34"/>
      <c r="E39" s="34"/>
      <c r="F39" s="34"/>
      <c r="G39" s="29"/>
    </row>
    <row r="40" spans="1:7" ht="15.75" hidden="1">
      <c r="A40" s="34" t="s">
        <v>53</v>
      </c>
      <c r="B40" s="34"/>
      <c r="C40" s="34"/>
      <c r="D40" s="34"/>
      <c r="E40" s="34"/>
      <c r="F40" s="34"/>
      <c r="G40" s="29"/>
    </row>
    <row r="41" spans="1:7" ht="15.75" hidden="1">
      <c r="A41" s="34" t="s">
        <v>54</v>
      </c>
      <c r="B41" s="34"/>
      <c r="C41" s="34"/>
      <c r="D41" s="34"/>
      <c r="E41" s="34"/>
      <c r="F41" s="34"/>
      <c r="G41" s="29"/>
    </row>
    <row r="42" spans="1:7" ht="15.75" hidden="1">
      <c r="A42" s="34" t="s">
        <v>55</v>
      </c>
      <c r="B42" s="34"/>
      <c r="C42" s="34"/>
      <c r="D42" s="34"/>
      <c r="E42" s="34"/>
      <c r="F42" s="34"/>
      <c r="G42" s="29"/>
    </row>
    <row r="43" spans="1:7" ht="15.75" hidden="1">
      <c r="A43" s="34" t="s">
        <v>56</v>
      </c>
      <c r="B43" s="34"/>
      <c r="C43" s="34"/>
      <c r="D43" s="34"/>
      <c r="E43" s="34"/>
      <c r="F43" s="34"/>
      <c r="G43" s="29"/>
    </row>
    <row r="44" spans="1:7" ht="15.75" hidden="1">
      <c r="A44" s="34" t="s">
        <v>57</v>
      </c>
      <c r="B44" s="34"/>
      <c r="C44" s="34"/>
      <c r="D44" s="34"/>
      <c r="E44" s="34"/>
      <c r="F44" s="34"/>
      <c r="G44" s="29"/>
    </row>
    <row r="45" spans="1:7" ht="15.75">
      <c r="A45" s="34" t="s">
        <v>58</v>
      </c>
      <c r="B45" s="34"/>
      <c r="C45" s="34"/>
      <c r="D45" s="34"/>
      <c r="E45" s="34"/>
      <c r="F45" s="34"/>
      <c r="G45" s="29">
        <v>168</v>
      </c>
    </row>
    <row r="46" spans="1:7" ht="15.75" hidden="1">
      <c r="A46" s="34" t="s">
        <v>59</v>
      </c>
      <c r="B46" s="34"/>
      <c r="C46" s="34"/>
      <c r="D46" s="34"/>
      <c r="E46" s="34"/>
      <c r="F46" s="34"/>
      <c r="G46" s="29"/>
    </row>
    <row r="47" spans="1:7" ht="15.75" hidden="1">
      <c r="A47" s="34" t="s">
        <v>60</v>
      </c>
      <c r="B47" s="34"/>
      <c r="C47" s="34"/>
      <c r="D47" s="34"/>
      <c r="E47" s="34"/>
      <c r="F47" s="34"/>
      <c r="G47" s="29"/>
    </row>
    <row r="48" spans="1:7" ht="15.75" hidden="1">
      <c r="A48" s="34" t="s">
        <v>61</v>
      </c>
      <c r="B48" s="34"/>
      <c r="C48" s="34"/>
      <c r="D48" s="34"/>
      <c r="E48" s="34"/>
      <c r="F48" s="34"/>
      <c r="G48" s="29"/>
    </row>
    <row r="49" spans="1:7" ht="15.75" hidden="1">
      <c r="A49" s="34" t="s">
        <v>62</v>
      </c>
      <c r="B49" s="34"/>
      <c r="C49" s="34"/>
      <c r="D49" s="34"/>
      <c r="E49" s="34"/>
      <c r="F49" s="34"/>
      <c r="G49" s="29"/>
    </row>
    <row r="50" spans="1:7" ht="15.75">
      <c r="A50" s="34" t="s">
        <v>63</v>
      </c>
      <c r="B50" s="34"/>
      <c r="C50" s="34"/>
      <c r="D50" s="34"/>
      <c r="E50" s="34"/>
      <c r="F50" s="34"/>
      <c r="G50" s="29">
        <v>3250</v>
      </c>
    </row>
    <row r="51" spans="1:7" ht="15.75" hidden="1">
      <c r="A51" s="34" t="s">
        <v>64</v>
      </c>
      <c r="B51" s="34"/>
      <c r="C51" s="34"/>
      <c r="D51" s="34"/>
      <c r="E51" s="34"/>
      <c r="F51" s="34"/>
      <c r="G51" s="29"/>
    </row>
    <row r="52" spans="1:7" ht="15.75" hidden="1">
      <c r="A52" s="34" t="s">
        <v>65</v>
      </c>
      <c r="B52" s="34"/>
      <c r="C52" s="34"/>
      <c r="D52" s="34"/>
      <c r="E52" s="34"/>
      <c r="F52" s="34"/>
      <c r="G52" s="29"/>
    </row>
    <row r="53" spans="1:7" ht="18.75" customHeight="1">
      <c r="A53" s="33" t="s">
        <v>66</v>
      </c>
      <c r="B53" s="33"/>
      <c r="C53" s="33"/>
      <c r="D53" s="33"/>
      <c r="E53" s="33"/>
      <c r="F53" s="33"/>
      <c r="G53" s="32">
        <f>G39+G40+G41+G42+G43+G44+G45+G46+G47+G48+G49+G50+G51+G52</f>
        <v>3418</v>
      </c>
    </row>
    <row r="54" spans="1:7" ht="21" customHeight="1">
      <c r="A54" s="33" t="s">
        <v>67</v>
      </c>
      <c r="B54" s="33"/>
      <c r="C54" s="33"/>
      <c r="D54" s="33"/>
      <c r="E54" s="33"/>
      <c r="F54" s="33"/>
      <c r="G54" s="32">
        <f>G35+G53</f>
        <v>113579.18344751559</v>
      </c>
    </row>
    <row r="55" spans="1:7" ht="15.75">
      <c r="A55" s="28" t="s">
        <v>68</v>
      </c>
      <c r="B55" s="28"/>
      <c r="C55" s="28"/>
      <c r="D55" s="28"/>
      <c r="E55" s="28"/>
      <c r="F55" s="28"/>
      <c r="G55" s="29">
        <v>-8253.98</v>
      </c>
    </row>
    <row r="56" spans="1:7" ht="15.75">
      <c r="A56" s="41" t="s">
        <v>69</v>
      </c>
      <c r="B56" s="41"/>
      <c r="C56" s="41"/>
      <c r="D56" s="41"/>
      <c r="E56" s="41"/>
      <c r="F56" s="41"/>
      <c r="G56" s="29">
        <f>281.58*4+141.6*4+180*4</f>
        <v>2412.72</v>
      </c>
    </row>
    <row r="57" spans="1:7" ht="15.75" customHeight="1">
      <c r="A57" s="42" t="s">
        <v>70</v>
      </c>
      <c r="B57" s="42"/>
      <c r="C57" s="42"/>
      <c r="D57" s="42"/>
      <c r="E57" s="42"/>
      <c r="F57" s="42"/>
      <c r="G57" s="32">
        <f>B3*B5*4+G56</f>
        <v>139968.372</v>
      </c>
    </row>
    <row r="58" spans="1:7" ht="15.75" customHeight="1">
      <c r="A58" s="43" t="s">
        <v>71</v>
      </c>
      <c r="B58" s="43"/>
      <c r="C58" s="43"/>
      <c r="D58" s="43"/>
      <c r="E58" s="43"/>
      <c r="F58" s="43"/>
      <c r="G58" s="44">
        <v>13335.13</v>
      </c>
    </row>
    <row r="59" spans="1:7" ht="67.5" customHeight="1">
      <c r="A59" s="33" t="s">
        <v>80</v>
      </c>
      <c r="B59" s="33"/>
      <c r="C59" s="33"/>
      <c r="D59" s="33"/>
      <c r="E59" s="33"/>
      <c r="F59" s="33"/>
      <c r="G59" s="32">
        <f>G54-G57+G58-G55</f>
        <v>-4800.078552484412</v>
      </c>
    </row>
  </sheetData>
  <sheetProtection selectLockedCells="1" selectUnlockedCells="1"/>
  <mergeCells count="48">
    <mergeCell ref="A1:G1"/>
    <mergeCell ref="B2:E2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printOptions/>
  <pageMargins left="0.39375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2014-04-22T06:11:32Z</cp:lastPrinted>
  <dcterms:created xsi:type="dcterms:W3CDTF">1996-10-08T23:32:33Z</dcterms:created>
  <dcterms:modified xsi:type="dcterms:W3CDTF">2014-04-22T06:11:37Z</dcterms:modified>
  <cp:category/>
  <cp:version/>
  <cp:contentType/>
  <cp:contentStatus/>
  <cp:revision>13</cp:revision>
</cp:coreProperties>
</file>